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20" windowWidth="13695" windowHeight="11715" tabRatio="742"/>
  </bookViews>
  <sheets>
    <sheet name="PDM-PLAN DE ACCION 2012-2015" sheetId="4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0">'[1]CUADRO No 4'!#REF!</definedName>
    <definedName name="\a">'[1]CUADRO No 4'!#REF!</definedName>
    <definedName name="\c" localSheetId="0">#REF!</definedName>
    <definedName name="\c">#REF!</definedName>
    <definedName name="\i" localSheetId="0">#REF!</definedName>
    <definedName name="\i">#REF!</definedName>
    <definedName name="\P" localSheetId="0">#REF!</definedName>
    <definedName name="\P">#REF!</definedName>
    <definedName name="\r" localSheetId="0">#REF!</definedName>
    <definedName name="\r">#REF!</definedName>
    <definedName name="__123Graph_B" localSheetId="0" hidden="1">'[2]GIROS SITUAD.FISCAL- 2000'!#REF!</definedName>
    <definedName name="__123Graph_B" hidden="1">'[2]GIROS SITUAD.FISCAL- 2000'!#REF!</definedName>
    <definedName name="__123Graph_D" localSheetId="0" hidden="1">'[2]GIROS SITUAD.FISCAL- 2000'!#REF!</definedName>
    <definedName name="__123Graph_D" hidden="1">'[2]GIROS SITUAD.FISCAL- 2000'!#REF!</definedName>
    <definedName name="__123Graph_F" localSheetId="0" hidden="1">'[2]GIROS SITUAD.FISCAL- 2000'!#REF!</definedName>
    <definedName name="__123Graph_F" hidden="1">'[2]GIROS SITUAD.FISCAL- 2000'!#REF!</definedName>
    <definedName name="__123Graph_X" localSheetId="0" hidden="1">'[2]GIROS SITUAD.FISCAL- 2000'!#REF!</definedName>
    <definedName name="__123Graph_X" hidden="1">'[2]GIROS SITUAD.FISCAL- 2000'!#REF!</definedName>
    <definedName name="_1" localSheetId="0">#REF!</definedName>
    <definedName name="_1">#REF!</definedName>
    <definedName name="_1994">'[3]Educa 94-01 miles corrientes'!$M$2</definedName>
    <definedName name="_1995">'[3]Educa 94-01 miles corrientes'!$N$2</definedName>
    <definedName name="_1996">'[3]Educa 94-01 miles corrientes'!$O$2</definedName>
    <definedName name="_1997">'[3]Educa 94-01 miles corrientes'!$P$2</definedName>
    <definedName name="_1998" localSheetId="0">#REF!</definedName>
    <definedName name="_1998">#REF!</definedName>
    <definedName name="_1999" localSheetId="0">#REF!</definedName>
    <definedName name="_1999">#REF!</definedName>
    <definedName name="_2" localSheetId="0">#REF!</definedName>
    <definedName name="_2">#REF!</definedName>
    <definedName name="_2000" localSheetId="0">#REF!</definedName>
    <definedName name="_2000">#REF!</definedName>
    <definedName name="_2001" localSheetId="0">#REF!</definedName>
    <definedName name="_2001">#REF!</definedName>
    <definedName name="_2002" localSheetId="0">#REF!</definedName>
    <definedName name="_2002">#REF!</definedName>
    <definedName name="_3" localSheetId="0">#REF!</definedName>
    <definedName name="_3">#REF!</definedName>
    <definedName name="_4" localSheetId="0">#REF!</definedName>
    <definedName name="_4">#REF!</definedName>
    <definedName name="_5" localSheetId="0">#REF!</definedName>
    <definedName name="_5">#REF!</definedName>
    <definedName name="_6" localSheetId="0">#REF!</definedName>
    <definedName name="_6">#REF!</definedName>
    <definedName name="_7" localSheetId="0">#REF!</definedName>
    <definedName name="_7">#REF!</definedName>
    <definedName name="_8" localSheetId="0">#REF!</definedName>
    <definedName name="_8">#REF!</definedName>
    <definedName name="_a1" localSheetId="0">#REF!</definedName>
    <definedName name="_a1">#REF!</definedName>
    <definedName name="_xlnm._FilterDatabase" localSheetId="0" hidden="1">'PDM-PLAN DE ACCION 2012-2015'!$A$9:$AH$293</definedName>
    <definedName name="_fmi1">[4]PAGOFMI!$A$1:$L$51</definedName>
    <definedName name="_fmi2">[4]PAGOFMI!$P$1:$AA$51</definedName>
    <definedName name="_fmi3">[4]PAGORES!$AC$1:$AN$43</definedName>
    <definedName name="_fmi4">[4]PAGORES!$AP$1:$BA$44</definedName>
    <definedName name="_Order1" hidden="1">255</definedName>
    <definedName name="_Order2" hidden="1">255</definedName>
    <definedName name="_PIB01" localSheetId="0">[5]SUPUESTOS!#REF!</definedName>
    <definedName name="_PIB01">[5]SUPUESTOS!#REF!</definedName>
    <definedName name="_PIB02" localSheetId="0">[6]SUPUESTOS!#REF!</definedName>
    <definedName name="_PIB02">[6]SUPUESTOS!#REF!</definedName>
    <definedName name="_PIB95">[5]SUPUESTOS!$J$47</definedName>
    <definedName name="_PIB96">[5]SUPUESTOS!$K$47</definedName>
    <definedName name="_PIB97">[7]SUPUESTOS!$L$47</definedName>
    <definedName name="_PIB98">[7]SUPUESTOS!$M$47</definedName>
    <definedName name="_PIB99">[7]SUPUESTOS!$N$47</definedName>
    <definedName name="_RES9397" localSheetId="0">#REF!</definedName>
    <definedName name="_RES9397">#REF!</definedName>
    <definedName name="_rez2">'[4]PAGOS VIGENCIA t'!$A$57:$AH$108</definedName>
    <definedName name="_rez3">[4]PAGORES!$A$1:$M$37</definedName>
    <definedName name="_rez4">[4]PAGORES!$O$1:$AN$43</definedName>
    <definedName name="_sgp20091"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_sgp2009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_Table1_Out" localSheetId="0" hidden="1">[8]CARBOCOL!#REF!</definedName>
    <definedName name="_Table1_Out" hidden="1">[8]CARBOCOL!#REF!</definedName>
    <definedName name="_Table2_In2" localSheetId="0" hidden="1">[9]ANUAL1!#REF!</definedName>
    <definedName name="_Table2_In2" hidden="1">[9]ANUAL1!#REF!</definedName>
    <definedName name="_Table2_Out" localSheetId="0" hidden="1">[8]CARBOCOL!#REF!</definedName>
    <definedName name="_Table2_Out" hidden="1">[8]CARBOCOL!#REF!</definedName>
    <definedName name="A" localSheetId="0">#REF!</definedName>
    <definedName name="A">#REF!</definedName>
    <definedName name="A_2002" localSheetId="0">#REF!</definedName>
    <definedName name="A_2002">#REF!</definedName>
    <definedName name="A_CAPITAL">[10]Hoja4!$B$3:$O$34</definedName>
    <definedName name="A_DEPTOS">[10]Hoja4!$B$76:$N$108</definedName>
    <definedName name="A_impresión_IM" localSheetId="0">#REF!</definedName>
    <definedName name="A_impresión_IM">#REF!</definedName>
    <definedName name="A_MUNPIOS">[10]Hoja4!$B$39:$N$71</definedName>
    <definedName name="AAA">[11]proyecINGRESOS99!$L$1:$T$97</definedName>
    <definedName name="Ajustado" localSheetId="0">#REF!</definedName>
    <definedName name="Ajustado">#REF!</definedName>
    <definedName name="ANEXO_No." localSheetId="0">#REF!</definedName>
    <definedName name="ANEXO_No.">#REF!</definedName>
    <definedName name="ANEXO_No._5" localSheetId="0">#REF!</definedName>
    <definedName name="ANEXO_No._5">#REF!</definedName>
    <definedName name="aprnac" localSheetId="0">[12]GASTOS!#REF!</definedName>
    <definedName name="aprnac">[12]GASTOS!#REF!</definedName>
    <definedName name="APROPIACIONES_PAC_Y_REZAGO_1999___2000" localSheetId="0">#REF!</definedName>
    <definedName name="APROPIACIONES_PAC_Y_REZAGO_1999___2000">#REF!</definedName>
    <definedName name="aprprp" localSheetId="0">[12]GASTOS!#REF!</definedName>
    <definedName name="aprprp">[12]GASTOS!#REF!</definedName>
    <definedName name="asigbas" localSheetId="0">#REF!</definedName>
    <definedName name="asigbas">#REF!</definedName>
    <definedName name="asigbasempu" localSheetId="0">#REF!</definedName>
    <definedName name="asigbasempu">#REF!</definedName>
    <definedName name="asigbasisten" localSheetId="0">#REF!</definedName>
    <definedName name="asigbasisten">#REF!</definedName>
    <definedName name="asigbastotal" localSheetId="0">#REF!</definedName>
    <definedName name="asigbastotal">#REF!</definedName>
    <definedName name="asigmen" localSheetId="0">#REF!</definedName>
    <definedName name="asigmen">#REF!</definedName>
    <definedName name="auxalm" localSheetId="0">#REF!</definedName>
    <definedName name="auxalm">#REF!</definedName>
    <definedName name="B">[13]LOTERIAS!$B$54:$P$54</definedName>
    <definedName name="_xlnm.Database" localSheetId="0">#REF!</definedName>
    <definedName name="_xlnm.Database">#REF!</definedName>
    <definedName name="basnac" localSheetId="0">[12]GASTOS!#REF!</definedName>
    <definedName name="basnac">[12]GASTOS!#REF!</definedName>
    <definedName name="basprp" localSheetId="0">[12]GASTOS!#REF!</definedName>
    <definedName name="basprp">[12]GASTOS!#REF!</definedName>
    <definedName name="bonser" localSheetId="0">#REF!</definedName>
    <definedName name="bonser">#REF!</definedName>
    <definedName name="CARBOCRECIM" localSheetId="0">#REF!</definedName>
    <definedName name="CARBOCRECIM">#REF!</definedName>
    <definedName name="CARBOPESOS" localSheetId="0">#REF!</definedName>
    <definedName name="CARBOPESOS">#REF!</definedName>
    <definedName name="CARBOPIB" localSheetId="0">#REF!</definedName>
    <definedName name="CARBOPIB">#REF!</definedName>
    <definedName name="castigocuadro2">'[14]CUA1-3'!$Y$1:$AD$93</definedName>
    <definedName name="CAT_00" localSheetId="0">'[15]94-03 Mil Corr '!#REF!</definedName>
    <definedName name="CAT_00">'[15]94-03 Mil Corr '!#REF!</definedName>
    <definedName name="CAT_01" localSheetId="0">'[15]94-03 Mil Corr '!#REF!</definedName>
    <definedName name="CAT_01">'[15]94-03 Mil Corr '!#REF!</definedName>
    <definedName name="CAT_02" localSheetId="0">'[15]94-03 Mil Corr '!#REF!</definedName>
    <definedName name="CAT_02">'[15]94-03 Mil Corr '!#REF!</definedName>
    <definedName name="CAT_94" localSheetId="0">'[15]94-03 Mil Corr '!#REF!</definedName>
    <definedName name="CAT_94">'[15]94-03 Mil Corr '!#REF!</definedName>
    <definedName name="CAT_95" localSheetId="0">'[15]94-03 Mil Corr '!#REF!</definedName>
    <definedName name="CAT_95">'[15]94-03 Mil Corr '!#REF!</definedName>
    <definedName name="CAT_96" localSheetId="0">'[15]94-03 Mil Corr '!#REF!</definedName>
    <definedName name="CAT_96">'[15]94-03 Mil Corr '!#REF!</definedName>
    <definedName name="CAT_97" localSheetId="0">'[15]94-03 Mil Corr '!#REF!</definedName>
    <definedName name="CAT_97">'[15]94-03 Mil Corr '!#REF!</definedName>
    <definedName name="CAT_98" localSheetId="0">'[15]94-03 Mil Corr '!#REF!</definedName>
    <definedName name="CAT_98">'[15]94-03 Mil Corr '!#REF!</definedName>
    <definedName name="CAT_99" localSheetId="0">'[15]94-03 Mil Corr '!#REF!</definedName>
    <definedName name="CAT_99">'[15]94-03 Mil Corr '!#REF!</definedName>
    <definedName name="CENSO1964" localSheetId="0">#REF!</definedName>
    <definedName name="CENSO1964">#REF!</definedName>
    <definedName name="CENSO1973" localSheetId="0">#REF!</definedName>
    <definedName name="CENSO1973">#REF!</definedName>
    <definedName name="CENSO1985" localSheetId="0">#REF!</definedName>
    <definedName name="CENSO1985">#REF!</definedName>
    <definedName name="COD_DEP" localSheetId="0">#REF!</definedName>
    <definedName name="COD_DEP">#REF!</definedName>
    <definedName name="COD_DEPARTAMENTO" localSheetId="0">#REF!</definedName>
    <definedName name="COD_DEPARTAMENTO">#REF!</definedName>
    <definedName name="COD_MUN" localSheetId="0">#REF!</definedName>
    <definedName name="COD_MUN">#REF!</definedName>
    <definedName name="codigo" localSheetId="0">#REF!</definedName>
    <definedName name="codigo">#REF!</definedName>
    <definedName name="CODIGO_DIVIPOLA" localSheetId="0">#REF!</definedName>
    <definedName name="CODIGO_DIVIPOLA">#REF!</definedName>
    <definedName name="COL_MENU" localSheetId="0">[16]RESUMEN!#REF!</definedName>
    <definedName name="COL_MENU">[16]RESUMEN!#REF!</definedName>
    <definedName name="COLUM00PESOS" localSheetId="0">#REF!</definedName>
    <definedName name="COLUM00PESOS">#REF!</definedName>
    <definedName name="COLUM00PIB" localSheetId="0">#REF!</definedName>
    <definedName name="COLUM00PIB">#REF!</definedName>
    <definedName name="COLUM01PESOS" localSheetId="0">#REF!</definedName>
    <definedName name="COLUM01PESOS">#REF!</definedName>
    <definedName name="COLUM01PIB" localSheetId="0">#REF!</definedName>
    <definedName name="COLUM01PIB">#REF!</definedName>
    <definedName name="COLUM02PESOS" localSheetId="0">#REF!</definedName>
    <definedName name="COLUM02PESOS">#REF!</definedName>
    <definedName name="COLUM02PIB" localSheetId="0">#REF!</definedName>
    <definedName name="COLUM02PIB">#REF!</definedName>
    <definedName name="COLUM03PESOS" localSheetId="0">#REF!</definedName>
    <definedName name="COLUM03PESOS">#REF!</definedName>
    <definedName name="COLUM03PIB" localSheetId="0">#REF!</definedName>
    <definedName name="COLUM03PIB">#REF!</definedName>
    <definedName name="COLUM04PESOS" localSheetId="0">#REF!</definedName>
    <definedName name="COLUM04PESOS">#REF!</definedName>
    <definedName name="COLUM04PIB" localSheetId="0">#REF!</definedName>
    <definedName name="COLUM04PIB">#REF!</definedName>
    <definedName name="COLUM05PESOS" localSheetId="0">#REF!</definedName>
    <definedName name="COLUM05PESOS">#REF!</definedName>
    <definedName name="COLUM05PIB" localSheetId="0">#REF!</definedName>
    <definedName name="COLUM05PIB">#REF!</definedName>
    <definedName name="COLUM06PESOS" localSheetId="0">#REF!</definedName>
    <definedName name="COLUM06PESOS">#REF!</definedName>
    <definedName name="COLUM06PIB" localSheetId="0">#REF!</definedName>
    <definedName name="COLUM06PIB">#REF!</definedName>
    <definedName name="COLUM07PESOS" localSheetId="0">#REF!</definedName>
    <definedName name="COLUM07PESOS">#REF!</definedName>
    <definedName name="COLUM07PIB" localSheetId="0">#REF!</definedName>
    <definedName name="COLUM07PIB">#REF!</definedName>
    <definedName name="COLUM98PESOS" localSheetId="0">#REF!</definedName>
    <definedName name="COLUM98PESOS">#REF!</definedName>
    <definedName name="COLUM98PIB" localSheetId="0">#REF!</definedName>
    <definedName name="COLUM98PIB">#REF!</definedName>
    <definedName name="COLUM99PESOS" localSheetId="0">#REF!</definedName>
    <definedName name="COLUM99PESOS">#REF!</definedName>
    <definedName name="COLUM99PIB" localSheetId="0">#REF!</definedName>
    <definedName name="COLUM99PIB">#REF!</definedName>
    <definedName name="COMPOSICION_DEL_PRESUPUESTO_DE_RENTAS_DE_LA_NACION">'[11]proyecINGRESOS99 (det)'!$V$98:$AH$145</definedName>
    <definedName name="Conceptos_MOD" localSheetId="0">[17]Gastos_Inversión_2012!#REF!</definedName>
    <definedName name="Conceptos_MOD">[17]Gastos_Inversión_2012!#REF!</definedName>
    <definedName name="Confis" localSheetId="0">#REF!</definedName>
    <definedName name="Confis">#REF!</definedName>
    <definedName name="conpln3" localSheetId="0">#REF!</definedName>
    <definedName name="conpln3">#REF!</definedName>
    <definedName name="conpln4" localSheetId="0">#REF!</definedName>
    <definedName name="conpln4">#REF!</definedName>
    <definedName name="conpln5" localSheetId="0">#REF!</definedName>
    <definedName name="conpln5">#REF!</definedName>
    <definedName name="CRBLO00_" localSheetId="0">#REF!</definedName>
    <definedName name="CRBLO00_">#REF!</definedName>
    <definedName name="CRBLO93_" localSheetId="0">#REF!</definedName>
    <definedName name="CRBLO93_">#REF!</definedName>
    <definedName name="CRBLO94_" localSheetId="0">#REF!</definedName>
    <definedName name="CRBLO94_">#REF!</definedName>
    <definedName name="CRBLO95_" localSheetId="0">#REF!</definedName>
    <definedName name="CRBLO95_">#REF!</definedName>
    <definedName name="CRBLO96_" localSheetId="0">#REF!</definedName>
    <definedName name="CRBLO96_">#REF!</definedName>
    <definedName name="CRBLO97_" localSheetId="0">#REF!</definedName>
    <definedName name="CRBLO97_">#REF!</definedName>
    <definedName name="CRBLO98_" localSheetId="0">#REF!</definedName>
    <definedName name="CRBLO98_">#REF!</definedName>
    <definedName name="CRBLO99_" localSheetId="0">#REF!</definedName>
    <definedName name="CRBLO99_">#REF!</definedName>
    <definedName name="CRCOMB00_" localSheetId="0">#REF!</definedName>
    <definedName name="CRCOMB00_">#REF!</definedName>
    <definedName name="CRCOMB93_" localSheetId="0">#REF!</definedName>
    <definedName name="CRCOMB93_">#REF!</definedName>
    <definedName name="CRCOMB94_" localSheetId="0">#REF!</definedName>
    <definedName name="CRCOMB94_">#REF!</definedName>
    <definedName name="CRCOMB95_" localSheetId="0">#REF!</definedName>
    <definedName name="CRCOMB95_">#REF!</definedName>
    <definedName name="CRCOMB96_" localSheetId="0">#REF!</definedName>
    <definedName name="CRCOMB96_">#REF!</definedName>
    <definedName name="CRCOMB97_" localSheetId="0">#REF!</definedName>
    <definedName name="CRCOMB97_">#REF!</definedName>
    <definedName name="CRCOMB98_" localSheetId="0">#REF!</definedName>
    <definedName name="CRCOMB98_">#REF!</definedName>
    <definedName name="CRCOMB99_" localSheetId="0">#REF!</definedName>
    <definedName name="CRCOMB99_">#REF!</definedName>
    <definedName name="CRDEM00_" localSheetId="0">#REF!</definedName>
    <definedName name="CRDEM00_">#REF!</definedName>
    <definedName name="CRDEM93_" localSheetId="0">#REF!</definedName>
    <definedName name="CRDEM93_">#REF!</definedName>
    <definedName name="CRDEM94_" localSheetId="0">#REF!</definedName>
    <definedName name="CRDEM94_">#REF!</definedName>
    <definedName name="CRDEM95_" localSheetId="0">#REF!</definedName>
    <definedName name="CRDEM95_">#REF!</definedName>
    <definedName name="CRDEM96_" localSheetId="0">#REF!</definedName>
    <definedName name="CRDEM96_">#REF!</definedName>
    <definedName name="CRDEM97_" localSheetId="0">#REF!</definedName>
    <definedName name="CRDEM97_">#REF!</definedName>
    <definedName name="CRDEM98_" localSheetId="0">#REF!</definedName>
    <definedName name="CRDEM98_">#REF!</definedName>
    <definedName name="CRDEM99_" localSheetId="0">#REF!</definedName>
    <definedName name="CRDEM99_">#REF!</definedName>
    <definedName name="CREUF00_" localSheetId="0">#REF!</definedName>
    <definedName name="CREUF00_">#REF!</definedName>
    <definedName name="CREUF93_" localSheetId="0">#REF!</definedName>
    <definedName name="CREUF93_">#REF!</definedName>
    <definedName name="CREUF94_" localSheetId="0">#REF!</definedName>
    <definedName name="CREUF94_">#REF!</definedName>
    <definedName name="CREUF95_" localSheetId="0">#REF!</definedName>
    <definedName name="CREUF95_">#REF!</definedName>
    <definedName name="CREUF96_" localSheetId="0">#REF!</definedName>
    <definedName name="CREUF96_">#REF!</definedName>
    <definedName name="CREUF97_" localSheetId="0">#REF!</definedName>
    <definedName name="CREUF97_">#REF!</definedName>
    <definedName name="CREUF98_" localSheetId="0">#REF!</definedName>
    <definedName name="CREUF98_">#REF!</definedName>
    <definedName name="CREUF99_" localSheetId="0">#REF!</definedName>
    <definedName name="CREUF99_">#REF!</definedName>
    <definedName name="cruce" localSheetId="0">#REF!</definedName>
    <definedName name="cruce">#REF!</definedName>
    <definedName name="CRUCE2" localSheetId="0">#REF!</definedName>
    <definedName name="CRUCE2">#REF!</definedName>
    <definedName name="CRUCE3" localSheetId="0">#REF!</definedName>
    <definedName name="CRUCE3">#REF!</definedName>
    <definedName name="Cuadro_2b1">[18]RESUOPE!$AE$150:$BB$224</definedName>
    <definedName name="CUADRO_No._1" localSheetId="0">#REF!</definedName>
    <definedName name="CUADRO_No._1">#REF!</definedName>
    <definedName name="CUADRO_No._10" localSheetId="0">#REF!</definedName>
    <definedName name="CUADRO_No._10">#REF!</definedName>
    <definedName name="CUADRO_No._12" localSheetId="0">#REF!</definedName>
    <definedName name="CUADRO_No._12">#REF!</definedName>
    <definedName name="CUADRO_No._13" localSheetId="0">#REF!</definedName>
    <definedName name="CUADRO_No._13">#REF!</definedName>
    <definedName name="Cuadro_No._1a">[19]Hoja1!$B$3:$E$38</definedName>
    <definedName name="Cuadro_No._1b">[19]Hoja2!$L$3:$O$23</definedName>
    <definedName name="Cuadro_No._1C">[19]Hoja1!$B$50:$E$88</definedName>
    <definedName name="CUADRO_No._2" localSheetId="0">#REF!</definedName>
    <definedName name="CUADRO_No._2">#REF!</definedName>
    <definedName name="CUADRO_No._3" localSheetId="0">#REF!</definedName>
    <definedName name="CUADRO_No._3">#REF!</definedName>
    <definedName name="CUADRO_No._4" localSheetId="0">#REF!</definedName>
    <definedName name="CUADRO_No._4">#REF!</definedName>
    <definedName name="CUADRO_No._5" localSheetId="0">#REF!</definedName>
    <definedName name="CUADRO_No._5">#REF!</definedName>
    <definedName name="CUADRO_No._6" localSheetId="0">#REF!</definedName>
    <definedName name="CUADRO_No._6">#REF!</definedName>
    <definedName name="CUADRO_No._6A" localSheetId="0">#REF!</definedName>
    <definedName name="CUADRO_No._6A">#REF!</definedName>
    <definedName name="CUADRO_No._7" localSheetId="0">#REF!</definedName>
    <definedName name="CUADRO_No._7">#REF!</definedName>
    <definedName name="CUADRO_No._8" localSheetId="0">#REF!</definedName>
    <definedName name="CUADRO_No._8">#REF!</definedName>
    <definedName name="CUADRO_No._9" localSheetId="0">#REF!</definedName>
    <definedName name="CUADRO_No._9">#REF!</definedName>
    <definedName name="Cuadro2b">[18]RESUOPE!$B$9:$AB$83</definedName>
    <definedName name="CUAINGRE" localSheetId="0">#REF!</definedName>
    <definedName name="CUAINGRE">#REF!</definedName>
    <definedName name="Cwvu.ComparEneMar9697." localSheetId="0" hidden="1">'[20]Seguimiento CSF'!#REF!,'[20]Seguimiento CSF'!$30:$34,'[20]Seguimiento CSF'!$104:$104,'[20]Seguimiento CSF'!#REF!,'[20]Seguimiento CSF'!#REF!,'[20]Seguimiento CSF'!$124:$125</definedName>
    <definedName name="Cwvu.ComparEneMar9697." hidden="1">'[20]Seguimiento CSF'!#REF!,'[20]Seguimiento CSF'!$30:$34,'[20]Seguimiento CSF'!$104:$104,'[20]Seguimiento CSF'!#REF!,'[20]Seguimiento CSF'!#REF!,'[20]Seguimiento CSF'!$124:$125</definedName>
    <definedName name="Cwvu.EneFeb." localSheetId="0" hidden="1">'[20]Seguimiento CSF'!#REF!,'[20]Seguimiento CSF'!#REF!</definedName>
    <definedName name="Cwvu.EneFeb." hidden="1">'[20]Seguimiento CSF'!#REF!,'[20]Seguimiento CSF'!#REF!</definedName>
    <definedName name="Cwvu.EneMar." localSheetId="0" hidden="1">'[20]Seguimiento CSF'!#REF!,'[20]Seguimiento CSF'!$67:$67,'[20]Seguimiento CSF'!#REF!,'[20]Seguimiento CSF'!#REF!</definedName>
    <definedName name="Cwvu.EneMar." hidden="1">'[20]Seguimiento CSF'!#REF!,'[20]Seguimiento CSF'!$67:$67,'[20]Seguimiento CSF'!#REF!,'[20]Seguimiento CSF'!#REF!</definedName>
    <definedName name="Cwvu.Formato._.Corto." localSheetId="0" hidden="1">'[20]Seguimiento CSF'!$11:$12,'[20]Seguimiento CSF'!#REF!,'[20]Seguimiento CSF'!$45:$46,'[20]Seguimiento CSF'!$48:$57,'[20]Seguimiento CSF'!$61:$63,'[20]Seguimiento CSF'!$65:$66,'[20]Seguimiento CSF'!$72:$82,'[20]Seguimiento CSF'!$89:$92,'[20]Seguimiento CSF'!$114:$116,'[20]Seguimiento CSF'!$118:$122,'[20]Seguimiento CSF'!$129:$132,'[20]Seguimiento CSF'!$134:$135</definedName>
    <definedName name="Cwvu.Formato._.Corto." hidden="1">'[20]Seguimiento CSF'!$11:$12,'[20]Seguimiento CSF'!#REF!,'[20]Seguimiento CSF'!$45:$46,'[20]Seguimiento CSF'!$48:$57,'[20]Seguimiento CSF'!$61:$63,'[20]Seguimiento CSF'!$65:$66,'[20]Seguimiento CSF'!$72:$82,'[20]Seguimiento CSF'!$89:$92,'[20]Seguimiento CSF'!$114:$116,'[20]Seguimiento CSF'!$118:$122,'[20]Seguimiento CSF'!$129:$132,'[20]Seguimiento CSF'!$134:$135</definedName>
    <definedName name="Cwvu.Formato._.Total." localSheetId="0" hidden="1">'[20]Seguimiento CSF'!#REF!,'[20]Seguimiento CSF'!#REF!,'[20]Seguimiento CSF'!#REF!</definedName>
    <definedName name="Cwvu.Formato._.Total." hidden="1">'[20]Seguimiento CSF'!#REF!,'[20]Seguimiento CSF'!#REF!,'[20]Seguimiento CSF'!#REF!</definedName>
    <definedName name="d">'[21]Dolares ingresos'!$C$2:$U$48</definedName>
    <definedName name="DBALANCEFMI2" localSheetId="0">#REF!</definedName>
    <definedName name="DBALANCEFMI2">#REF!</definedName>
    <definedName name="DboREGISTRO_LEY_617" localSheetId="0">#REF!</definedName>
    <definedName name="DboREGISTRO_LEY_617">#REF!</definedName>
    <definedName name="DDD"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ebajo98" localSheetId="0">#REF!</definedName>
    <definedName name="debajo98">#REF!</definedName>
    <definedName name="DEPAR_CA">[10]Hoja4!$B$3:$B$34</definedName>
    <definedName name="DEPAR_DEP">[10]Hoja4!$B$76:$B$108</definedName>
    <definedName name="DEPAR_MUN">[10]Hoja4!$B$39:$B$71</definedName>
    <definedName name="DEPTO" localSheetId="0">#REF!</definedName>
    <definedName name="DEPTO">#REF!</definedName>
    <definedName name="DEPTO_2002" localSheetId="0">#REF!</definedName>
    <definedName name="DEPTO_2002">#REF!</definedName>
    <definedName name="DETALLE_DE_LA_COMPOSICION_DEL_PRESUPUESTO_DE_RENTAS_DE_LA_NACION">[11]proyecINGRESOS99!$A$1:$I$97</definedName>
    <definedName name="DETALLE1996" localSheetId="0">#REF!</definedName>
    <definedName name="DETALLE1996">#REF!</definedName>
    <definedName name="DETALLE1997" localSheetId="0">#REF!</definedName>
    <definedName name="DETALLE1997">#REF!</definedName>
    <definedName name="deuda" localSheetId="0">#REF!</definedName>
    <definedName name="deuda">#REF!</definedName>
    <definedName name="DEUDA_FLOTANTE_1990_1998" localSheetId="0">#REF!</definedName>
    <definedName name="DEUDA_FLOTANTE_1990_1998">#REF!</definedName>
    <definedName name="DIFERCOLUM00" localSheetId="0">#REF!</definedName>
    <definedName name="DIFERCOLUM00">#REF!</definedName>
    <definedName name="DIFERCOLUM01" localSheetId="0">#REF!</definedName>
    <definedName name="DIFERCOLUM01">#REF!</definedName>
    <definedName name="DIFERCOLUM02" localSheetId="0">#REF!</definedName>
    <definedName name="DIFERCOLUM02">#REF!</definedName>
    <definedName name="DIFERCOLUM99" localSheetId="0">#REF!</definedName>
    <definedName name="DIFERCOLUM99">#REF!</definedName>
    <definedName name="dos" localSheetId="0">#REF!</definedName>
    <definedName name="dos">#REF!</definedName>
    <definedName name="DPTOS" localSheetId="0">#REF!</definedName>
    <definedName name="DPTOS">#REF!</definedName>
    <definedName name="ECOPETROLCRECIM" localSheetId="0">#REF!</definedName>
    <definedName name="ECOPETROLCRECIM">#REF!</definedName>
    <definedName name="ECOPETROLPESOS" localSheetId="0">#REF!</definedName>
    <definedName name="ECOPETROLPESOS">#REF!</definedName>
    <definedName name="ECOPETROLPIB" localSheetId="0">#REF!</definedName>
    <definedName name="ECOPETROLPIB">#REF!</definedName>
    <definedName name="EDUCA_00" localSheetId="0">#REF!</definedName>
    <definedName name="EDUCA_00">#REF!</definedName>
    <definedName name="EDUCA_01" localSheetId="0">#REF!</definedName>
    <definedName name="EDUCA_01">#REF!</definedName>
    <definedName name="EDUCA_94" localSheetId="0">#REF!</definedName>
    <definedName name="EDUCA_94">#REF!</definedName>
    <definedName name="EDUCA_95" localSheetId="0">#REF!</definedName>
    <definedName name="EDUCA_95">#REF!</definedName>
    <definedName name="EDUCA_96" localSheetId="0">#REF!</definedName>
    <definedName name="EDUCA_96">#REF!</definedName>
    <definedName name="EDUCA_97" localSheetId="0">#REF!</definedName>
    <definedName name="EDUCA_97">#REF!</definedName>
    <definedName name="EDUCA_98" localSheetId="0">#REF!</definedName>
    <definedName name="EDUCA_98">#REF!</definedName>
    <definedName name="EDUCA_99" localSheetId="0">#REF!</definedName>
    <definedName name="EDUCA_99">#REF!</definedName>
    <definedName name="EGRAFICOS1" localSheetId="0">#REF!</definedName>
    <definedName name="EGRAFICOS1">#REF!</definedName>
    <definedName name="EGRAFICOS2" localSheetId="0">#REF!</definedName>
    <definedName name="EGRAFICOS2">#REF!</definedName>
    <definedName name="EGRAFICOS3" localSheetId="0">#REF!</definedName>
    <definedName name="EGRAFICOS3">#REF!</definedName>
    <definedName name="ejcprp" localSheetId="0">[12]GASTOS!#REF!</definedName>
    <definedName name="ejcprp">[12]GASTOS!#REF!</definedName>
    <definedName name="eje" localSheetId="0">[12]GASTOS!#REF!</definedName>
    <definedName name="eje">[12]GASTOS!#REF!</definedName>
    <definedName name="ELASTICIDAD_RECAUDO_IVA" localSheetId="0">#REF!</definedName>
    <definedName name="ELASTICIDAD_RECAUDO_IVA">#REF!</definedName>
    <definedName name="ELECTRICOCRECIM" localSheetId="0">#REF!</definedName>
    <definedName name="ELECTRICOCRECIM">#REF!</definedName>
    <definedName name="ELECTRICOPESOS" localSheetId="0">#REF!</definedName>
    <definedName name="ELECTRICOPESOS">#REF!</definedName>
    <definedName name="ELECTRICOPIB" localSheetId="0">#REF!</definedName>
    <definedName name="ELECTRICOPIB">#REF!</definedName>
    <definedName name="emppln" localSheetId="0">#REF!</definedName>
    <definedName name="emppln">#REF!</definedName>
    <definedName name="encima98" localSheetId="0">#REF!</definedName>
    <definedName name="encima98">#REF!</definedName>
    <definedName name="ENEROP" localSheetId="0">#REF!</definedName>
    <definedName name="ENEROP">#REF!</definedName>
    <definedName name="ENERORN" localSheetId="0">#REF!</definedName>
    <definedName name="ENERORN">#REF!</definedName>
    <definedName name="ENERORP" localSheetId="0">#REF!</definedName>
    <definedName name="ENERORP">#REF!</definedName>
    <definedName name="ESCENARIO__0" localSheetId="0">#REF!</definedName>
    <definedName name="ESCENARIO__0">#REF!</definedName>
    <definedName name="ESCENARIO__1" localSheetId="0">#REF!</definedName>
    <definedName name="ESCENARIO__1">#REF!</definedName>
    <definedName name="ESCENARIO_1__Ajustado" localSheetId="0">#REF!</definedName>
    <definedName name="ESCENARIO_1__Ajustado">#REF!</definedName>
    <definedName name="ESCENARIO_2" localSheetId="0">#REF!</definedName>
    <definedName name="ESCENARIO_2">#REF!</definedName>
    <definedName name="ESCENARIO_3" localSheetId="0">#REF!</definedName>
    <definedName name="ESCENARIO_3">#REF!</definedName>
    <definedName name="ESCENARIO_NUEVO" localSheetId="0">#REF!</definedName>
    <definedName name="ESCENARIO_NUEVO">#REF!</definedName>
    <definedName name="estimaciones" localSheetId="0">#REF!</definedName>
    <definedName name="estimaciones">#REF!</definedName>
    <definedName name="Excel_BuiltIn__FilterDatabase_3" localSheetId="0">#REF!</definedName>
    <definedName name="Excel_BuiltIn__FilterDatabase_3">#REF!</definedName>
    <definedName name="FEBRERON" localSheetId="0">[22]VIGN!#REF!</definedName>
    <definedName name="FEBRERON">[22]VIGN!#REF!</definedName>
    <definedName name="FEBREROP" localSheetId="0">#REF!</definedName>
    <definedName name="FEBREROP">#REF!</definedName>
    <definedName name="FEBRERORN" localSheetId="0">#REF!</definedName>
    <definedName name="FEBRERORN">#REF!</definedName>
    <definedName name="FEBRERORP" localSheetId="0">#REF!</definedName>
    <definedName name="FEBRERORP">#REF!</definedName>
    <definedName name="ffff"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FPPT" localSheetId="0">#REF!</definedName>
    <definedName name="FFPPT">#REF!</definedName>
    <definedName name="FNCCRECIM" localSheetId="0">#REF!</definedName>
    <definedName name="FNCCRECIM">#REF!</definedName>
    <definedName name="FNCPESOS" localSheetId="0">#REF!</definedName>
    <definedName name="FNCPESOS">#REF!</definedName>
    <definedName name="FNCPIB" localSheetId="0">#REF!</definedName>
    <definedName name="FNCPIB">#REF!</definedName>
    <definedName name="FONPET2000" localSheetId="0">#REF!</definedName>
    <definedName name="FONPET2000">#REF!</definedName>
    <definedName name="FONPET2001" localSheetId="0">#REF!</definedName>
    <definedName name="FONPET2001">#REF!</definedName>
    <definedName name="FONPET2002" localSheetId="0">#REF!</definedName>
    <definedName name="FONPET2002">#REF!</definedName>
    <definedName name="FONPET2003" localSheetId="0">#REF!</definedName>
    <definedName name="FONPET2003">#REF!</definedName>
    <definedName name="FONPET2004" localSheetId="0">#REF!</definedName>
    <definedName name="FONPET2004">#REF!</definedName>
    <definedName name="FONPET2005" localSheetId="0">#REF!</definedName>
    <definedName name="FONPET2005">#REF!</definedName>
    <definedName name="FONPETOTAL"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Z_00" localSheetId="0">'[15]94-03 Mil Corr '!#REF!</definedName>
    <definedName name="FORZ_00">'[15]94-03 Mil Corr '!#REF!</definedName>
    <definedName name="FORZ_01_RESERVA" localSheetId="0">'[15]94-03 Mil Corr '!#REF!</definedName>
    <definedName name="FORZ_01_RESERVA">'[15]94-03 Mil Corr '!#REF!</definedName>
    <definedName name="FORZ_94" localSheetId="0">'[15]94-03 Mil Corr '!#REF!</definedName>
    <definedName name="FORZ_94">'[15]94-03 Mil Corr '!#REF!</definedName>
    <definedName name="FORZ_95" localSheetId="0">'[15]94-03 Mil Corr '!#REF!</definedName>
    <definedName name="FORZ_95">'[15]94-03 Mil Corr '!#REF!</definedName>
    <definedName name="FORZ_96" localSheetId="0">'[15]94-03 Mil Corr '!#REF!</definedName>
    <definedName name="FORZ_96">'[15]94-03 Mil Corr '!#REF!</definedName>
    <definedName name="FORZ_97" localSheetId="0">'[15]94-03 Mil Corr '!#REF!</definedName>
    <definedName name="FORZ_97">'[15]94-03 Mil Corr '!#REF!</definedName>
    <definedName name="FORZ_98" localSheetId="0">'[15]94-03 Mil Corr '!#REF!</definedName>
    <definedName name="FORZ_98">'[15]94-03 Mil Corr '!#REF!</definedName>
    <definedName name="FORZ_99" localSheetId="0">'[15]94-03 Mil Corr '!#REF!</definedName>
    <definedName name="FORZ_99">'[15]94-03 Mil Corr '!#REF!</definedName>
    <definedName name="FORZ_PG_02" localSheetId="0">'[15]94-03 Mil Corr '!#REF!</definedName>
    <definedName name="FORZ_PG_02">'[15]94-03 Mil Corr '!#REF!</definedName>
    <definedName name="fun" localSheetId="0">[12]GASTOS!#REF!</definedName>
    <definedName name="fun">[12]GASTOS!#REF!</definedName>
    <definedName name="futnac" localSheetId="0">[12]GASTOS!#REF!</definedName>
    <definedName name="futnac">[12]GASTOS!#REF!</definedName>
    <definedName name="futprp" localSheetId="0">[12]GASTOS!#REF!</definedName>
    <definedName name="futprp">[12]GASTOS!#REF!</definedName>
    <definedName name="GASOLINA_REGULAR">'[23]MODELO DE GASOLINA'!$A$8:$P$25</definedName>
    <definedName name="gasrep" localSheetId="0">#REF!</definedName>
    <definedName name="gasrep">#REF!</definedName>
    <definedName name="Gastos_generales" localSheetId="0">#REF!</definedName>
    <definedName name="Gastos_generales">#REF!</definedName>
    <definedName name="GOBIERNOCRECIM" localSheetId="0">#REF!</definedName>
    <definedName name="GOBIERNOCRECIM">#REF!</definedName>
    <definedName name="GOBIERNOPESOS" localSheetId="0">#REF!</definedName>
    <definedName name="GOBIERNOPESOS">#REF!</definedName>
    <definedName name="GOBIERNOPIB" localSheetId="0">#REF!</definedName>
    <definedName name="GOBIERNOPIB">#REF!</definedName>
    <definedName name="GREFORMASRESUM1" localSheetId="0">#REF!</definedName>
    <definedName name="GREFORMASRESUM1">#REF!</definedName>
    <definedName name="GREFORMASRESUM2" localSheetId="0">#REF!</definedName>
    <definedName name="GREFORMASRESUM2">#REF!</definedName>
    <definedName name="GREFORMASRESUM3" localSheetId="0">#REF!</definedName>
    <definedName name="GREFORMASRESUM3">#REF!</definedName>
    <definedName name="horext" localSheetId="0">#REF!</definedName>
    <definedName name="horext">#REF!</definedName>
    <definedName name="I" localSheetId="0">#REF!</definedName>
    <definedName name="I">#REF!</definedName>
    <definedName name="IN00_" localSheetId="0">#REF!</definedName>
    <definedName name="IN00_">#REF!</definedName>
    <definedName name="IN93_" localSheetId="0">#REF!</definedName>
    <definedName name="IN93_">#REF!</definedName>
    <definedName name="IN94_" localSheetId="0">#REF!</definedName>
    <definedName name="IN94_">#REF!</definedName>
    <definedName name="IN95_" localSheetId="0">#REF!</definedName>
    <definedName name="IN95_">#REF!</definedName>
    <definedName name="IN96_" localSheetId="0">#REF!</definedName>
    <definedName name="IN96_">#REF!</definedName>
    <definedName name="IN97_" localSheetId="0">#REF!</definedName>
    <definedName name="IN97_">#REF!</definedName>
    <definedName name="IN98_" localSheetId="0">#REF!</definedName>
    <definedName name="IN98_">#REF!</definedName>
    <definedName name="IN99_" localSheetId="0">#REF!</definedName>
    <definedName name="IN99_">#REF!</definedName>
    <definedName name="INCGG00_" localSheetId="0">#REF!</definedName>
    <definedName name="INCGG00_">#REF!</definedName>
    <definedName name="INCGG93_" localSheetId="0">#REF!</definedName>
    <definedName name="INCGG93_">#REF!</definedName>
    <definedName name="INCGG94_" localSheetId="0">#REF!</definedName>
    <definedName name="INCGG94_">#REF!</definedName>
    <definedName name="INCGG95_" localSheetId="0">#REF!</definedName>
    <definedName name="INCGG95_">#REF!</definedName>
    <definedName name="INCGG96_" localSheetId="0">#REF!</definedName>
    <definedName name="INCGG96_">#REF!</definedName>
    <definedName name="INCGG97_" localSheetId="0">#REF!</definedName>
    <definedName name="INCGG97_">#REF!</definedName>
    <definedName name="INCGG98_" localSheetId="0">#REF!</definedName>
    <definedName name="INCGG98_">#REF!</definedName>
    <definedName name="INCGG99_" localSheetId="0">#REF!</definedName>
    <definedName name="INCGG99_">#REF!</definedName>
    <definedName name="INCSP00_" localSheetId="0">#REF!</definedName>
    <definedName name="INCSP00_">#REF!</definedName>
    <definedName name="INCSP93_" localSheetId="0">#REF!</definedName>
    <definedName name="INCSP93_">#REF!</definedName>
    <definedName name="INCSP94_" localSheetId="0">#REF!</definedName>
    <definedName name="INCSP94_">#REF!</definedName>
    <definedName name="INCSP95_" localSheetId="0">#REF!</definedName>
    <definedName name="INCSP95_">#REF!</definedName>
    <definedName name="INCSP96_" localSheetId="0">#REF!</definedName>
    <definedName name="INCSP96_">#REF!</definedName>
    <definedName name="INCSP97_" localSheetId="0">#REF!</definedName>
    <definedName name="INCSP97_">#REF!</definedName>
    <definedName name="INCSP98_" localSheetId="0">#REF!</definedName>
    <definedName name="INCSP98_">#REF!</definedName>
    <definedName name="INCSP99_" localSheetId="0">#REF!</definedName>
    <definedName name="INCSP99_">#REF!</definedName>
    <definedName name="INCTRAN00_" localSheetId="0">#REF!</definedName>
    <definedName name="INCTRAN00_">#REF!</definedName>
    <definedName name="INCTRAN93_" localSheetId="0">#REF!</definedName>
    <definedName name="INCTRAN93_">#REF!</definedName>
    <definedName name="INCTRAN94_" localSheetId="0">#REF!</definedName>
    <definedName name="INCTRAN94_">#REF!</definedName>
    <definedName name="INCTRAN95_" localSheetId="0">#REF!</definedName>
    <definedName name="INCTRAN95_">#REF!</definedName>
    <definedName name="INCTRAN96_" localSheetId="0">#REF!</definedName>
    <definedName name="INCTRAN96_">#REF!</definedName>
    <definedName name="INCTRAN97_" localSheetId="0">#REF!</definedName>
    <definedName name="INCTRAN97_">#REF!</definedName>
    <definedName name="INCTRAN98_" localSheetId="0">#REF!</definedName>
    <definedName name="INCTRAN98_">#REF!</definedName>
    <definedName name="INCTRAN99_" localSheetId="0">#REF!</definedName>
    <definedName name="INCTRAN99_">#REF!</definedName>
    <definedName name="ingapr" localSheetId="0">#REF!</definedName>
    <definedName name="ingapr">#REF!</definedName>
    <definedName name="ingbas" localSheetId="0">#REF!</definedName>
    <definedName name="ingbas">#REF!</definedName>
    <definedName name="ingest" localSheetId="0">#REF!</definedName>
    <definedName name="ingest">#REF!</definedName>
    <definedName name="ingprg" localSheetId="0">#REF!</definedName>
    <definedName name="ingprg">#REF!</definedName>
    <definedName name="ingresos" localSheetId="0">#REF!</definedName>
    <definedName name="ingresos">#REF!</definedName>
    <definedName name="INGRESOS_DE_LA_NACION__1996_REAL__1997_ESTIMACION_Y_1998_PROYECCION" localSheetId="0">#REF!</definedName>
    <definedName name="INGRESOS_DE_LA_NACION__1996_REAL__1997_ESTIMACION_Y_1998_PROYECCION">#REF!</definedName>
    <definedName name="ingresos97" localSheetId="0">#REF!</definedName>
    <definedName name="ingresos97">#REF!</definedName>
    <definedName name="ingsol" localSheetId="0">#REF!</definedName>
    <definedName name="ingsol">#REF!</definedName>
    <definedName name="INTYCOM00_">[13]SUPUESTOS!$O$70</definedName>
    <definedName name="INTYCOM94_">[13]SUPUESTOS!$I$70</definedName>
    <definedName name="INTYCOM95_">[13]SUPUESTOS!$J$70</definedName>
    <definedName name="INTYCOM96_">[13]SUPUESTOS!$K$70</definedName>
    <definedName name="INTYCOM97_">[13]SUPUESTOS!$L$70</definedName>
    <definedName name="INTYCOM98_">[13]SUPUESTOS!$M$70</definedName>
    <definedName name="INTYCOM99_">[13]SUPUESTOS!$N$70</definedName>
    <definedName name="KBALANCEVSFMI" localSheetId="0">#REF!</definedName>
    <definedName name="KBALANCEVSFMI">#REF!</definedName>
    <definedName name="kkkk" localSheetId="0">'[24]CUADRO No 4'!#REF!</definedName>
    <definedName name="kkkk">'[24]CUADRO No 4'!#REF!</definedName>
    <definedName name="LIBRE_00" localSheetId="0">#REF!</definedName>
    <definedName name="LIBRE_00">#REF!</definedName>
    <definedName name="LIBRE_01_RESERVA" localSheetId="0">#REF!</definedName>
    <definedName name="LIBRE_01_RESERVA">#REF!</definedName>
    <definedName name="LIBRE_02" localSheetId="0">#REF!</definedName>
    <definedName name="LIBRE_02">#REF!</definedName>
    <definedName name="LIBRE_94" localSheetId="0">#REF!</definedName>
    <definedName name="LIBRE_94">#REF!</definedName>
    <definedName name="LIBRE_95" localSheetId="0">#REF!</definedName>
    <definedName name="LIBRE_95">#REF!</definedName>
    <definedName name="LIBRE_96" localSheetId="0">#REF!</definedName>
    <definedName name="LIBRE_96">#REF!</definedName>
    <definedName name="LIBRE_97" localSheetId="0">#REF!</definedName>
    <definedName name="LIBRE_97">#REF!</definedName>
    <definedName name="LIBRE_98" localSheetId="0">#REF!</definedName>
    <definedName name="LIBRE_98">#REF!</definedName>
    <definedName name="LIBRE_99" localSheetId="0">#REF!</definedName>
    <definedName name="LIBRE_99">#REF!</definedName>
    <definedName name="liqui" localSheetId="0">#REF!</definedName>
    <definedName name="liqui">#REF!</definedName>
    <definedName name="liquidacion97" localSheetId="0">'[25]LIQUI-TRANSF'!#REF!</definedName>
    <definedName name="liquidacion97">'[25]LIQUI-TRANSF'!#REF!</definedName>
    <definedName name="LPORTADASECTOR" localSheetId="0">#REF!</definedName>
    <definedName name="LPORTADASECTOR">#REF!</definedName>
    <definedName name="M">[26]Datos!$F$34</definedName>
    <definedName name="MACRO" localSheetId="0">#REF!</definedName>
    <definedName name="MACRO">#REF!</definedName>
    <definedName name="MARZON" localSheetId="0">[22]VIGN!#REF!</definedName>
    <definedName name="MARZON">[22]VIGN!#REF!</definedName>
    <definedName name="MARZOP" localSheetId="0">#REF!</definedName>
    <definedName name="MARZOP">#REF!</definedName>
    <definedName name="MARZORN" localSheetId="0">#REF!</definedName>
    <definedName name="MARZORN">#REF!</definedName>
    <definedName name="MARZORP" localSheetId="0">#REF!</definedName>
    <definedName name="MARZORP">#REF!</definedName>
    <definedName name="METROCRECIM" localSheetId="0">#REF!</definedName>
    <definedName name="METROCRECIM">#REF!</definedName>
    <definedName name="METROPESOS" localSheetId="0">#REF!</definedName>
    <definedName name="METROPESOS">#REF!</definedName>
    <definedName name="METROPIB" localSheetId="0">#REF!</definedName>
    <definedName name="METROPIB">#REF!</definedName>
    <definedName name="MINISTRO" localSheetId="0">'[27]CUA1-3'!#REF!</definedName>
    <definedName name="MINISTRO">'[27]CUA1-3'!#REF!</definedName>
    <definedName name="MUNICIPIO" localSheetId="0">#REF!</definedName>
    <definedName name="MUNICIPIO">#REF!</definedName>
    <definedName name="NACION" localSheetId="0">#REF!</definedName>
    <definedName name="NACION">#REF!</definedName>
    <definedName name="NBI_MPIO" localSheetId="0">#REF!</definedName>
    <definedName name="NBI_MPIO">#REF!</definedName>
    <definedName name="nivel" localSheetId="0">#REF!</definedName>
    <definedName name="nivel">#REF!</definedName>
    <definedName name="NOINCLUIDCRECIM" localSheetId="0">#REF!</definedName>
    <definedName name="NOINCLUIDCRECIM">#REF!</definedName>
    <definedName name="NOINCLUIPESOS" localSheetId="0">#REF!</definedName>
    <definedName name="NOINCLUIPESOS">#REF!</definedName>
    <definedName name="nomniv" localSheetId="0">#REF!</definedName>
    <definedName name="nomniv">#REF!</definedName>
    <definedName name="NOVDEUDAFLOTANTE" localSheetId="0">#REF!</definedName>
    <definedName name="NOVDEUDAFLOTANTE">#REF!</definedName>
    <definedName name="NOVEVOLREZAGO" localSheetId="0">#REF!</definedName>
    <definedName name="NOVEVOLREZAGO">#REF!</definedName>
    <definedName name="NUEVA">'[28]planta base'!$C$504:$AA$803</definedName>
    <definedName name="OE97B" localSheetId="0">#REF!</definedName>
    <definedName name="OE97B">#REF!</definedName>
    <definedName name="OEPROY97" localSheetId="0">#REF!</definedName>
    <definedName name="OEPROY97">#REF!</definedName>
    <definedName name="opetesore00" localSheetId="0">#REF!</definedName>
    <definedName name="opetesore00">#REF!</definedName>
    <definedName name="opetesore98" localSheetId="0">#REF!</definedName>
    <definedName name="opetesore98">#REF!</definedName>
    <definedName name="opetesore99" localSheetId="0">#REF!</definedName>
    <definedName name="opetesore99">#REF!</definedName>
    <definedName name="P">'[21]Pesos ingresos'!$C$2:$U$111</definedName>
    <definedName name="PAGOPROM00_" localSheetId="0">#REF!</definedName>
    <definedName name="PAGOPROM00_">#REF!</definedName>
    <definedName name="PAGOPROM93_" localSheetId="0">#REF!</definedName>
    <definedName name="PAGOPROM93_">#REF!</definedName>
    <definedName name="PAGOPROM94_" localSheetId="0">#REF!</definedName>
    <definedName name="PAGOPROM94_">#REF!</definedName>
    <definedName name="PAGOPROM95_" localSheetId="0">#REF!</definedName>
    <definedName name="PAGOPROM95_">#REF!</definedName>
    <definedName name="PAGOPROM96_" localSheetId="0">#REF!</definedName>
    <definedName name="PAGOPROM96_">#REF!</definedName>
    <definedName name="PAGOPROM97_" localSheetId="0">#REF!</definedName>
    <definedName name="PAGOPROM97_">#REF!</definedName>
    <definedName name="PAGOPROM98_" localSheetId="0">#REF!</definedName>
    <definedName name="PAGOPROM98_">#REF!</definedName>
    <definedName name="PAGOPROM99_" localSheetId="0">#REF!</definedName>
    <definedName name="PAGOPROM99_">#REF!</definedName>
    <definedName name="PARTICIPACIONES_1997___2000" localSheetId="0">'[27]CUA1-3'!#REF!</definedName>
    <definedName name="PARTICIPACIONES_1997___2000">'[27]CUA1-3'!#REF!</definedName>
    <definedName name="PARTMUN00_">[13]SUPUESTOS!$O$6</definedName>
    <definedName name="PARTMUN93_">[13]SUPUESTOS!$H$6</definedName>
    <definedName name="PARTMUN94_">[13]SUPUESTOS!$I$6</definedName>
    <definedName name="PARTMUN95_">[13]SUPUESTOS!$J$6</definedName>
    <definedName name="PARTMUN96_">[13]SUPUESTOS!$K$6</definedName>
    <definedName name="PARTMUN97_">[13]SUPUESTOS!$L$6</definedName>
    <definedName name="PARTMUN98_">[13]SUPUESTOS!$M$6</definedName>
    <definedName name="PARTMUN99_">[13]SUPUESTOS!$N$6</definedName>
    <definedName name="Pcpta_00" localSheetId="0">[29]Pob!#REF!</definedName>
    <definedName name="Pcpta_00">[29]Pob!#REF!</definedName>
    <definedName name="Pcpta_01" localSheetId="0">[29]Pob!#REF!</definedName>
    <definedName name="Pcpta_01">[29]Pob!#REF!</definedName>
    <definedName name="Pcpta_02" localSheetId="0">[29]Pob!#REF!</definedName>
    <definedName name="Pcpta_02">[29]Pob!#REF!</definedName>
    <definedName name="Pcpta_99" localSheetId="0">[29]Pob!#REF!</definedName>
    <definedName name="Pcpta_99">[29]Pob!#REF!</definedName>
    <definedName name="PERNOTEC00_" localSheetId="0">#REF!</definedName>
    <definedName name="PERNOTEC00_">#REF!</definedName>
    <definedName name="PERNOTEC93_" localSheetId="0">#REF!</definedName>
    <definedName name="PERNOTEC93_">#REF!</definedName>
    <definedName name="PERNOTEC94_" localSheetId="0">#REF!</definedName>
    <definedName name="PERNOTEC94_">#REF!</definedName>
    <definedName name="PERNOTEC95_" localSheetId="0">#REF!</definedName>
    <definedName name="PERNOTEC95_">#REF!</definedName>
    <definedName name="PERNOTEC96_" localSheetId="0">#REF!</definedName>
    <definedName name="PERNOTEC96_">#REF!</definedName>
    <definedName name="PERNOTEC97_" localSheetId="0">#REF!</definedName>
    <definedName name="PERNOTEC97_">#REF!</definedName>
    <definedName name="PERNOTEC98_" localSheetId="0">#REF!</definedName>
    <definedName name="PERNOTEC98_">#REF!</definedName>
    <definedName name="PERNOTEC99_" localSheetId="0">#REF!</definedName>
    <definedName name="PERNOTEC99_">#REF!</definedName>
    <definedName name="PEROTRA00_" localSheetId="0">#REF!</definedName>
    <definedName name="PEROTRA00_">#REF!</definedName>
    <definedName name="PEROTRA93_" localSheetId="0">#REF!</definedName>
    <definedName name="PEROTRA93_">#REF!</definedName>
    <definedName name="PEROTRA94_" localSheetId="0">#REF!</definedName>
    <definedName name="PEROTRA94_">#REF!</definedName>
    <definedName name="PEROTRA95_" localSheetId="0">#REF!</definedName>
    <definedName name="PEROTRA95_">#REF!</definedName>
    <definedName name="PEROTRA96_" localSheetId="0">#REF!</definedName>
    <definedName name="PEROTRA96_">#REF!</definedName>
    <definedName name="PEROTRA97_" localSheetId="0">#REF!</definedName>
    <definedName name="PEROTRA97_">#REF!</definedName>
    <definedName name="PEROTRA98_" localSheetId="0">#REF!</definedName>
    <definedName name="PEROTRA98_">#REF!</definedName>
    <definedName name="PEROTRA99_" localSheetId="0">#REF!</definedName>
    <definedName name="PEROTRA99_">#REF!</definedName>
    <definedName name="PERTRANS00_" localSheetId="0">#REF!</definedName>
    <definedName name="PERTRANS00_">#REF!</definedName>
    <definedName name="PERTRANS93_" localSheetId="0">#REF!</definedName>
    <definedName name="PERTRANS93_">#REF!</definedName>
    <definedName name="PERTRANS94_" localSheetId="0">#REF!</definedName>
    <definedName name="PERTRANS94_">#REF!</definedName>
    <definedName name="PERTRANS95_" localSheetId="0">#REF!</definedName>
    <definedName name="PERTRANS95_">#REF!</definedName>
    <definedName name="PERTRANS96_" localSheetId="0">#REF!</definedName>
    <definedName name="PERTRANS96_">#REF!</definedName>
    <definedName name="PERTRANS97_" localSheetId="0">#REF!</definedName>
    <definedName name="PERTRANS97_">#REF!</definedName>
    <definedName name="PERTRANS98_" localSheetId="0">#REF!</definedName>
    <definedName name="PERTRANS98_">#REF!</definedName>
    <definedName name="PERTRANS99_" localSheetId="0">#REF!</definedName>
    <definedName name="PERTRANS99_">#REF!</definedName>
    <definedName name="PIB" localSheetId="0">#REF!</definedName>
    <definedName name="PIB">#REF!</definedName>
    <definedName name="PIB00">[6]SUPUESTOS!$O$47</definedName>
    <definedName name="PIB00_">[13]SUPUESTOS!$O$19</definedName>
    <definedName name="PIB93_">[13]SUPUESTOS!$H$19</definedName>
    <definedName name="PIB94_">[13]SUPUESTOS!$I$19</definedName>
    <definedName name="PIB95_">[13]SUPUESTOS!$J$19</definedName>
    <definedName name="PIB96_">[13]SUPUESTOS!$K$19</definedName>
    <definedName name="PIB97_">[13]SUPUESTOS!$L$19</definedName>
    <definedName name="PIB98_">[13]SUPUESTOS!$M$19</definedName>
    <definedName name="PIB99_">[13]SUPUESTOS!$N$19</definedName>
    <definedName name="PICN_00_REAF_98" localSheetId="0">#REF!</definedName>
    <definedName name="PICN_00_REAF_98">#REF!</definedName>
    <definedName name="PICN_01_RESERVA" localSheetId="0">#REF!</definedName>
    <definedName name="PICN_01_RESERVA">#REF!</definedName>
    <definedName name="PICN_94" localSheetId="0">#REF!</definedName>
    <definedName name="PICN_94">#REF!</definedName>
    <definedName name="PICN_95" localSheetId="0">#REF!</definedName>
    <definedName name="PICN_95">#REF!</definedName>
    <definedName name="PICN_96" localSheetId="0">#REF!</definedName>
    <definedName name="PICN_96">#REF!</definedName>
    <definedName name="PICN_97" localSheetId="0">#REF!</definedName>
    <definedName name="PICN_97">#REF!</definedName>
    <definedName name="PICN_98" localSheetId="0">#REF!</definedName>
    <definedName name="PICN_98">#REF!</definedName>
    <definedName name="PICN_99_REF_97" localSheetId="0">#REF!</definedName>
    <definedName name="PICN_99_REF_97">#REF!</definedName>
    <definedName name="Plano" localSheetId="0">#REF!</definedName>
    <definedName name="Plano">#REF!</definedName>
    <definedName name="PORC_LIBRE_00" localSheetId="0">'[15]94-03 Mil Corr '!#REF!</definedName>
    <definedName name="PORC_LIBRE_00">'[15]94-03 Mil Corr '!#REF!</definedName>
    <definedName name="PORC_LIBRE_01" localSheetId="0">'[15]94-03 Mil Corr '!#REF!</definedName>
    <definedName name="PORC_LIBRE_01">'[15]94-03 Mil Corr '!#REF!</definedName>
    <definedName name="PORC_LIBRE_02" localSheetId="0">'[15]94-03 Mil Corr '!#REF!</definedName>
    <definedName name="PORC_LIBRE_02">'[15]94-03 Mil Corr '!#REF!</definedName>
    <definedName name="PORC_LIBRE_94" localSheetId="0">'[15]94-03 Mil Corr '!#REF!</definedName>
    <definedName name="PORC_LIBRE_94">'[15]94-03 Mil Corr '!#REF!</definedName>
    <definedName name="PORC_LIBRE_95" localSheetId="0">'[15]94-03 Mil Corr '!#REF!</definedName>
    <definedName name="PORC_LIBRE_95">'[15]94-03 Mil Corr '!#REF!</definedName>
    <definedName name="PORC_LIBRE_96" localSheetId="0">'[15]94-03 Mil Corr '!#REF!</definedName>
    <definedName name="PORC_LIBRE_96">'[15]94-03 Mil Corr '!#REF!</definedName>
    <definedName name="PORC_LIBRE_97" localSheetId="0">'[15]94-03 Mil Corr '!#REF!</definedName>
    <definedName name="PORC_LIBRE_97">'[15]94-03 Mil Corr '!#REF!</definedName>
    <definedName name="PORC_LIBRE_98" localSheetId="0">'[15]94-03 Mil Corr '!#REF!</definedName>
    <definedName name="PORC_LIBRE_98">'[15]94-03 Mil Corr '!#REF!</definedName>
    <definedName name="PORC_LIBRE_99" localSheetId="0">'[15]94-03 Mil Corr '!#REF!</definedName>
    <definedName name="PORC_LIBRE_99">'[15]94-03 Mil Corr '!#REF!</definedName>
    <definedName name="PPTO97" localSheetId="0">#REF!</definedName>
    <definedName name="PPTO97">#REF!</definedName>
    <definedName name="PRESUPUESTO__1998" localSheetId="0">#REF!</definedName>
    <definedName name="PRESUPUESTO__1998">#REF!</definedName>
    <definedName name="prgnac" localSheetId="0">[12]GASTOS!#REF!</definedName>
    <definedName name="prgnac">[12]GASTOS!#REF!</definedName>
    <definedName name="prgprp" localSheetId="0">[12]GASTOS!#REF!</definedName>
    <definedName name="prgprp">[12]GASTOS!#REF!</definedName>
    <definedName name="primant" localSheetId="0">#REF!</definedName>
    <definedName name="primant">#REF!</definedName>
    <definedName name="primnav" localSheetId="0">#REF!</definedName>
    <definedName name="primnav">#REF!</definedName>
    <definedName name="primser" localSheetId="0">#REF!</definedName>
    <definedName name="primser">#REF!</definedName>
    <definedName name="primtec" localSheetId="0">#REF!</definedName>
    <definedName name="primtec">#REF!</definedName>
    <definedName name="primvac" localSheetId="0">#REF!</definedName>
    <definedName name="primvac">#REF!</definedName>
    <definedName name="PROPIOS" localSheetId="0">#REF!</definedName>
    <definedName name="PROPIOS">#REF!</definedName>
    <definedName name="prynac" localSheetId="0">[12]GASTOS!#REF!</definedName>
    <definedName name="prynac">[12]GASTOS!#REF!</definedName>
    <definedName name="pryprp" localSheetId="0">[12]GASTOS!#REF!</definedName>
    <definedName name="pryprp">[12]GASTOS!#REF!</definedName>
    <definedName name="pyd">'[21]P+D ingresos'!$C$1:$U$111</definedName>
    <definedName name="rango1" localSheetId="0">#REF!</definedName>
    <definedName name="rango1">#REF!</definedName>
    <definedName name="RDPTO" localSheetId="0">#REF!</definedName>
    <definedName name="RDPTO">#REF!</definedName>
    <definedName name="re" localSheetId="0">#REF!</definedName>
    <definedName name="re">#REF!</definedName>
    <definedName name="RECALCULO" localSheetId="0">[16]RESUMEN!#REF!</definedName>
    <definedName name="RECALCULO">[16]RESUMEN!#REF!</definedName>
    <definedName name="RECAPRO00_" localSheetId="0">#REF!</definedName>
    <definedName name="RECAPRO00_">#REF!</definedName>
    <definedName name="RECAPRO93_" localSheetId="0">#REF!</definedName>
    <definedName name="RECAPRO93_">#REF!</definedName>
    <definedName name="RECAPRO94_" localSheetId="0">#REF!</definedName>
    <definedName name="RECAPRO94_">#REF!</definedName>
    <definedName name="RECAPRO95_" localSheetId="0">#REF!</definedName>
    <definedName name="RECAPRO95_">#REF!</definedName>
    <definedName name="RECAPRO96_" localSheetId="0">#REF!</definedName>
    <definedName name="RECAPRO96_">#REF!</definedName>
    <definedName name="RECAPRO97_" localSheetId="0">#REF!</definedName>
    <definedName name="RECAPRO97_">#REF!</definedName>
    <definedName name="RECAPRO98_" localSheetId="0">#REF!</definedName>
    <definedName name="RECAPRO98_">#REF!</definedName>
    <definedName name="RECAPRO99_" localSheetId="0">#REF!</definedName>
    <definedName name="RECAPRO99_">#REF!</definedName>
    <definedName name="recing" localSheetId="0">#REF!</definedName>
    <definedName name="recing">#REF!</definedName>
    <definedName name="recnac" localSheetId="0">[12]GASTOS!#REF!</definedName>
    <definedName name="recnac">[12]GASTOS!#REF!</definedName>
    <definedName name="recprp" localSheetId="0">[12]GASTOS!#REF!</definedName>
    <definedName name="recprp">[12]GASTOS!#REF!</definedName>
    <definedName name="reg" localSheetId="0">[12]GASTOS!#REF!</definedName>
    <definedName name="reg">[12]GASTOS!#REF!</definedName>
    <definedName name="REGALIAS00_">[13]SUPUESTOS!$O$74</definedName>
    <definedName name="REGALIAS93_">[13]SUPUESTOS!$H$74</definedName>
    <definedName name="REGALIAS94_">[13]SUPUESTOS!$I$74</definedName>
    <definedName name="REGALIAS95_">[13]SUPUESTOS!$J$74</definedName>
    <definedName name="REGALIAS96_">[13]SUPUESTOS!$K$74</definedName>
    <definedName name="REGALIAS97_">[13]SUPUESTOS!$L$74</definedName>
    <definedName name="REGALIAS98_">[13]SUPUESTOS!$M$74</definedName>
    <definedName name="REGALIAS99_">[13]SUPUESTOS!$N$74</definedName>
    <definedName name="REGIONALCRECIM" localSheetId="0">#REF!</definedName>
    <definedName name="REGIONALCRECIM">#REF!</definedName>
    <definedName name="REGIONALPESOS" localSheetId="0">#REF!</definedName>
    <definedName name="REGIONALPESOS">#REF!</definedName>
    <definedName name="REGIONALPIB" localSheetId="0">#REF!</definedName>
    <definedName name="REGIONALPIB">#REF!</definedName>
    <definedName name="Rep_ing_02" localSheetId="0">[29]Pob!#REF!</definedName>
    <definedName name="Rep_ing_02">[29]Pob!#REF!</definedName>
    <definedName name="REQUERIDOS" localSheetId="0">'[25]LIQUI-TRANSF'!#REF!</definedName>
    <definedName name="REQUERIDOS">'[25]LIQUI-TRANSF'!#REF!</definedName>
    <definedName name="RESTO" localSheetId="0">#REF!</definedName>
    <definedName name="RESTO">#REF!</definedName>
    <definedName name="RESTOCRECIM" localSheetId="0">#REF!</definedName>
    <definedName name="RESTOCRECIM">#REF!</definedName>
    <definedName name="RESTOPESOS" localSheetId="0">#REF!</definedName>
    <definedName name="RESTOPESOS">#REF!</definedName>
    <definedName name="RESTOPIB" localSheetId="0">#REF!</definedName>
    <definedName name="RESTOPIB">#REF!</definedName>
    <definedName name="RESUMIDO" localSheetId="0">#REF!</definedName>
    <definedName name="RESUMIDO">#REF!</definedName>
    <definedName name="rezago" localSheetId="0">#REF!</definedName>
    <definedName name="rezago">#REF!</definedName>
    <definedName name="Rwvu.ComparEneMar9697." hidden="1">'[20]Seguimiento CSF'!$L:$N,'[20]Seguimiento CSF'!$R:$BU</definedName>
    <definedName name="Rwvu.EneFeb." hidden="1">'[20]Seguimiento CSF'!$L:$N,'[20]Seguimiento CSF'!$Q:$AD</definedName>
    <definedName name="Rwvu.Formato._.Corto." hidden="1">'[20]Seguimiento CSF'!$L:$N,'[20]Seguimiento CSF'!$R:$AD,'[20]Seguimiento CSF'!$AH:$AY,'[20]Seguimiento CSF'!$BA:$BH,'[20]Seguimiento CSF'!$BJ:$BQ,'[20]Seguimiento CSF'!$BS:$CF</definedName>
    <definedName name="Rwvu.OPEF._.96." hidden="1">'[20]Resumen OPEF'!$E:$J,'[20]Resumen OPEF'!$M:$Q</definedName>
    <definedName name="Rwvu.OPEF._.97." localSheetId="0" hidden="1">'[20]Resumen OPEF'!$C:$C,'[20]Resumen OPEF'!#REF!,'[20]Resumen OPEF'!$K:$Q</definedName>
    <definedName name="Rwvu.OPEF._.97." hidden="1">'[20]Resumen OPEF'!$C:$C,'[20]Resumen OPEF'!#REF!,'[20]Resumen OPEF'!$K:$Q</definedName>
    <definedName name="sal">[28]tablas!$D$1:$H$814</definedName>
    <definedName name="SALIR" localSheetId="0">[16]RESUMEN!#REF!</definedName>
    <definedName name="SALIR">[16]RESUMEN!#REF!</definedName>
    <definedName name="secing" localSheetId="0">#REF!</definedName>
    <definedName name="secing">#REF!</definedName>
    <definedName name="SEGSOCIALCRECIM" localSheetId="0">#REF!</definedName>
    <definedName name="SEGSOCIALCRECIM">#REF!</definedName>
    <definedName name="SEGSOCIALPESOS" localSheetId="0">#REF!</definedName>
    <definedName name="SEGSOCIALPESOS">#REF!</definedName>
    <definedName name="SEGSOCIALPIB" localSheetId="0">#REF!</definedName>
    <definedName name="SEGSOCIALPIB">#REF!</definedName>
    <definedName name="SENDEMANDA00_" localSheetId="0">#REF!</definedName>
    <definedName name="SENDEMANDA00_">#REF!</definedName>
    <definedName name="SENDEMANDA93_" localSheetId="0">#REF!</definedName>
    <definedName name="SENDEMANDA93_">#REF!</definedName>
    <definedName name="SENDEMANDA94_" localSheetId="0">#REF!</definedName>
    <definedName name="SENDEMANDA94_">#REF!</definedName>
    <definedName name="SENDEMANDA95_" localSheetId="0">#REF!</definedName>
    <definedName name="SENDEMANDA95_">#REF!</definedName>
    <definedName name="SENDEMANDA96_" localSheetId="0">#REF!</definedName>
    <definedName name="SENDEMANDA96_">#REF!</definedName>
    <definedName name="SENDEMANDA97_" localSheetId="0">#REF!</definedName>
    <definedName name="SENDEMANDA97_">#REF!</definedName>
    <definedName name="SENDEMANDA98_" localSheetId="0">#REF!</definedName>
    <definedName name="SENDEMANDA98_">#REF!</definedName>
    <definedName name="SENDEMANDA99_" localSheetId="0">#REF!</definedName>
    <definedName name="SENDEMANDA99_">#REF!</definedName>
    <definedName name="SENPERDIDAS00_" localSheetId="0">#REF!</definedName>
    <definedName name="SENPERDIDAS00_">#REF!</definedName>
    <definedName name="SENPERDIDAS93_" localSheetId="0">#REF!</definedName>
    <definedName name="SENPERDIDAS93_">#REF!</definedName>
    <definedName name="SENPERDIDAS94_" localSheetId="0">#REF!</definedName>
    <definedName name="SENPERDIDAS94_">#REF!</definedName>
    <definedName name="SENPERDIDAS95_" localSheetId="0">#REF!</definedName>
    <definedName name="SENPERDIDAS95_">#REF!</definedName>
    <definedName name="SENPERDIDAS96_" localSheetId="0">#REF!</definedName>
    <definedName name="SENPERDIDAS96_">#REF!</definedName>
    <definedName name="SENPERDIDAS97_" localSheetId="0">#REF!</definedName>
    <definedName name="SENPERDIDAS97_">#REF!</definedName>
    <definedName name="SENPERDIDAS98_" localSheetId="0">#REF!</definedName>
    <definedName name="SENPERDIDAS98_">#REF!</definedName>
    <definedName name="SENPERDIDAS99_" localSheetId="0">#REF!</definedName>
    <definedName name="SENPERDIDAS99_">#REF!</definedName>
    <definedName name="SENRECAUDO00_" localSheetId="0">#REF!</definedName>
    <definedName name="SENRECAUDO00_">#REF!</definedName>
    <definedName name="SENRECAUDO93_" localSheetId="0">#REF!</definedName>
    <definedName name="SENRECAUDO93_">#REF!</definedName>
    <definedName name="SENRECAUDO94_" localSheetId="0">#REF!</definedName>
    <definedName name="SENRECAUDO94_">#REF!</definedName>
    <definedName name="SENRECAUDO95_" localSheetId="0">#REF!</definedName>
    <definedName name="SENRECAUDO95_">#REF!</definedName>
    <definedName name="SENRECAUDO96_" localSheetId="0">#REF!</definedName>
    <definedName name="SENRECAUDO96_">#REF!</definedName>
    <definedName name="SENRECAUDO97_" localSheetId="0">#REF!</definedName>
    <definedName name="SENRECAUDO97_">#REF!</definedName>
    <definedName name="SENRECAUDO98_" localSheetId="0">#REF!</definedName>
    <definedName name="SENRECAUDO98_">#REF!</definedName>
    <definedName name="SENRECAUDO99_" localSheetId="0">#REF!</definedName>
    <definedName name="SENRECAUDO99_">#REF!</definedName>
    <definedName name="SENSUPERAVIT00_" localSheetId="0">#REF!</definedName>
    <definedName name="SENSUPERAVIT00_">#REF!</definedName>
    <definedName name="SENSUPERAVIT93_" localSheetId="0">#REF!</definedName>
    <definedName name="SENSUPERAVIT93_">#REF!</definedName>
    <definedName name="SENSUPERAVIT94_" localSheetId="0">#REF!</definedName>
    <definedName name="SENSUPERAVIT94_">#REF!</definedName>
    <definedName name="SENSUPERAVIT95_" localSheetId="0">#REF!</definedName>
    <definedName name="SENSUPERAVIT95_">#REF!</definedName>
    <definedName name="SENSUPERAVIT96_" localSheetId="0">#REF!</definedName>
    <definedName name="SENSUPERAVIT96_">#REF!</definedName>
    <definedName name="SENSUPERAVIT97_" localSheetId="0">#REF!</definedName>
    <definedName name="SENSUPERAVIT97_">#REF!</definedName>
    <definedName name="SENSUPERAVIT98_" localSheetId="0">#REF!</definedName>
    <definedName name="SENSUPERAVIT98_">#REF!</definedName>
    <definedName name="SENSUPERAVIT99_" localSheetId="0">#REF!</definedName>
    <definedName name="SENSUPERAVIT99_">#REF!</definedName>
    <definedName name="SENTARIFA00_" localSheetId="0">#REF!</definedName>
    <definedName name="SENTARIFA00_">#REF!</definedName>
    <definedName name="SENTARIFA93_" localSheetId="0">#REF!</definedName>
    <definedName name="SENTARIFA93_">#REF!</definedName>
    <definedName name="SENTARIFA94_" localSheetId="0">#REF!</definedName>
    <definedName name="SENTARIFA94_">#REF!</definedName>
    <definedName name="SENTARIFA95_" localSheetId="0">#REF!</definedName>
    <definedName name="SENTARIFA95_">#REF!</definedName>
    <definedName name="SENTARIFA96_" localSheetId="0">#REF!</definedName>
    <definedName name="SENTARIFA96_">#REF!</definedName>
    <definedName name="SENTARIFA97_" localSheetId="0">#REF!</definedName>
    <definedName name="SENTARIFA97_">#REF!</definedName>
    <definedName name="SENTARIFA98_" localSheetId="0">#REF!</definedName>
    <definedName name="SENTARIFA98_">#REF!</definedName>
    <definedName name="SENTARIFA99_" localSheetId="0">#REF!</definedName>
    <definedName name="SENTARIFA99_">#REF!</definedName>
    <definedName name="SENVARDEM00_" localSheetId="0">#REF!</definedName>
    <definedName name="SENVARDEM00_">#REF!</definedName>
    <definedName name="SENVARDEM93_" localSheetId="0">#REF!</definedName>
    <definedName name="SENVARDEM93_">#REF!</definedName>
    <definedName name="SENVARDEM94_" localSheetId="0">#REF!</definedName>
    <definedName name="SENVARDEM94_">#REF!</definedName>
    <definedName name="SENVARDEM95_" localSheetId="0">#REF!</definedName>
    <definedName name="SENVARDEM95_">#REF!</definedName>
    <definedName name="SENVARDEM96_" localSheetId="0">#REF!</definedName>
    <definedName name="SENVARDEM96_">#REF!</definedName>
    <definedName name="SENVARDEM97_" localSheetId="0">#REF!</definedName>
    <definedName name="SENVARDEM97_">#REF!</definedName>
    <definedName name="SENVARDEM98_" localSheetId="0">#REF!</definedName>
    <definedName name="SENVARDEM98_">#REF!</definedName>
    <definedName name="SENVARDEM99_" localSheetId="0">#REF!</definedName>
    <definedName name="SENVARDEM99_">#REF!</definedName>
    <definedName name="SENVENTAS00_" localSheetId="0">#REF!</definedName>
    <definedName name="SENVENTAS00_">#REF!</definedName>
    <definedName name="SENVENTAS93_" localSheetId="0">#REF!</definedName>
    <definedName name="SENVENTAS93_">#REF!</definedName>
    <definedName name="SENVENTAS94_" localSheetId="0">#REF!</definedName>
    <definedName name="SENVENTAS94_">#REF!</definedName>
    <definedName name="SENVENTAS95_" localSheetId="0">#REF!</definedName>
    <definedName name="SENVENTAS95_">#REF!</definedName>
    <definedName name="SENVENTAS96_" localSheetId="0">#REF!</definedName>
    <definedName name="SENVENTAS96_">#REF!</definedName>
    <definedName name="SENVENTAS97_" localSheetId="0">#REF!</definedName>
    <definedName name="SENVENTAS97_">#REF!</definedName>
    <definedName name="SENVENTAS98_" localSheetId="0">#REF!</definedName>
    <definedName name="SENVENTAS98_">#REF!</definedName>
    <definedName name="SENVENTAS99_" localSheetId="0">#REF!</definedName>
    <definedName name="SENVENTAS99_">#REF!</definedName>
    <definedName name="SERVICIODEUDANACION" localSheetId="0">'[30]DETALLE-DEUDA'!#REF!</definedName>
    <definedName name="SERVICIODEUDANACION">'[30]DETALLE-DEUDA'!#REF!</definedName>
    <definedName name="Servicios_personales" localSheetId="0">#REF!</definedName>
    <definedName name="Servicios_personales">#REF!</definedName>
    <definedName name="SGP_PG_02" localSheetId="0">#REF!</definedName>
    <definedName name="SGP_PG_02">#REF!</definedName>
    <definedName name="SITFID95_">[13]SUPUESTOS!$J$7</definedName>
    <definedName name="SITFIS00_">[13]SUPUESTOS!$O$7</definedName>
    <definedName name="SITFIS93_">[13]SUPUESTOS!$H$7</definedName>
    <definedName name="SITFIS94_">[13]SUPUESTOS!$I$7</definedName>
    <definedName name="SITFIS95_">[13]SUPUESTOS!$J$7</definedName>
    <definedName name="SITFIS96_">[13]SUPUESTOS!$K$7</definedName>
    <definedName name="SITFIS97_">[13]SUPUESTOS!$L$7</definedName>
    <definedName name="SITFIS98_">[13]SUPUESTOS!$M$7</definedName>
    <definedName name="SITFIS99_">[13]SUPUESTOS!$N$7</definedName>
    <definedName name="solnac" localSheetId="0">[12]GASTOS!#REF!</definedName>
    <definedName name="solnac">[12]GASTOS!#REF!</definedName>
    <definedName name="solprp" localSheetId="0">[12]GASTOS!#REF!</definedName>
    <definedName name="solprp">[12]GASTOS!#REF!</definedName>
    <definedName name="SORTEADO" localSheetId="0">#REF!</definedName>
    <definedName name="SORTEADO">#REF!</definedName>
    <definedName name="subtrn" localSheetId="0">#REF!</definedName>
    <definedName name="subtrn">#REF!</definedName>
    <definedName name="TCP00_" localSheetId="0">#REF!</definedName>
    <definedName name="TCP00_">#REF!</definedName>
    <definedName name="TCP93_" localSheetId="0">#REF!</definedName>
    <definedName name="TCP93_">#REF!</definedName>
    <definedName name="TCP94_" localSheetId="0">#REF!</definedName>
    <definedName name="TCP94_">#REF!</definedName>
    <definedName name="TCP95_" localSheetId="0">#REF!</definedName>
    <definedName name="TCP95_">#REF!</definedName>
    <definedName name="TCP96_" localSheetId="0">#REF!</definedName>
    <definedName name="TCP96_">#REF!</definedName>
    <definedName name="TCP97_" localSheetId="0">#REF!</definedName>
    <definedName name="TCP97_">#REF!</definedName>
    <definedName name="TCP98_" localSheetId="0">#REF!</definedName>
    <definedName name="TCP98_">#REF!</definedName>
    <definedName name="TCP99_" localSheetId="0">#REF!</definedName>
    <definedName name="TCP99_">#REF!</definedName>
    <definedName name="TELECOMCRECIM" localSheetId="0">#REF!</definedName>
    <definedName name="TELECOMCRECIM">#REF!</definedName>
    <definedName name="TELECOMPESOS" localSheetId="0">#REF!</definedName>
    <definedName name="TELECOMPESOS">#REF!</definedName>
    <definedName name="TELECOMPIB" localSheetId="0">#REF!</definedName>
    <definedName name="TELECOMPIB">#REF!</definedName>
    <definedName name="_xlnm.Print_Titles" localSheetId="0">'PDM-PLAN DE ACCION 2012-2015'!$1:$9</definedName>
    <definedName name="Títulos_a_imprimir_IM" localSheetId="0">#REF!</definedName>
    <definedName name="Títulos_a_imprimir_IM">#REF!</definedName>
    <definedName name="TODO" localSheetId="0">#REF!</definedName>
    <definedName name="TODO">#REF!</definedName>
    <definedName name="TOTAL" localSheetId="0">#REF!</definedName>
    <definedName name="TOTAL">#REF!</definedName>
    <definedName name="tothorext" localSheetId="0">#REF!</definedName>
    <definedName name="tothorext">#REF!</definedName>
    <definedName name="totindemvac" localSheetId="0">#REF!</definedName>
    <definedName name="totindemvac">#REF!</definedName>
    <definedName name="tranferencias" localSheetId="0">#REF!</definedName>
    <definedName name="tranferencias">#REF!</definedName>
    <definedName name="TRANSTOT00_">[13]SUPUESTOS!$O$5</definedName>
    <definedName name="TRANSTOT93_">[13]SUPUESTOS!$H$5</definedName>
    <definedName name="TRANSTOT94_">[13]SUPUESTOS!$I$5</definedName>
    <definedName name="TRANSTOT95_">[13]SUPUESTOS!$J$5</definedName>
    <definedName name="TRANSTOT96_">[13]SUPUESTOS!$K$5</definedName>
    <definedName name="TRANSTOT97_">[13]SUPUESTOS!$L$5</definedName>
    <definedName name="TRANSTOT98_">[13]SUPUESTOS!$M$5</definedName>
    <definedName name="TRANSTOT99_">[13]SUPUESTOS!$N$5</definedName>
    <definedName name="uno" localSheetId="0">#REF!</definedName>
    <definedName name="uno">#REF!</definedName>
    <definedName name="v"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alor" localSheetId="0">#REF!</definedName>
    <definedName name="valor">#REF!</definedName>
    <definedName name="valorpuntoIng" localSheetId="0">#REF!</definedName>
    <definedName name="valorpuntoIng">#REF!</definedName>
    <definedName name="VARIACIONES" localSheetId="0">#REF!</definedName>
    <definedName name="VARIACIONES">#REF!</definedName>
    <definedName name="VARPIB00_">[13]SUPUESTOS!$O$20</definedName>
    <definedName name="VARPIB93_">[13]SUPUESTOS!$H$20</definedName>
    <definedName name="VARPIB94_">[13]SUPUESTOS!$I$20</definedName>
    <definedName name="VARPIB95_">[13]SUPUESTOS!$J$20</definedName>
    <definedName name="VARPIB96_">[13]SUPUESTOS!$K$20</definedName>
    <definedName name="VARPIB97_">[13]SUPUESTOS!$L$20</definedName>
    <definedName name="VARPIB98_">[13]SUPUESTOS!$M$20</definedName>
    <definedName name="VARPIB99_">[13]SUPUESTOS!$N$20</definedName>
    <definedName name="vieja">'[28]planta base'!$C$2:$AC$503</definedName>
    <definedName name="VIGENCIA">'[4]PAGOS VIGENCIA t'!$A$2:$AS$55</definedName>
    <definedName name="Vigencia_1999" localSheetId="0">#REF!</definedName>
    <definedName name="Vigencia_1999">#REF!</definedName>
    <definedName name="Vigencia_2000" localSheetId="0">#REF!</definedName>
    <definedName name="Vigencia_2000">#REF!</definedName>
    <definedName name="Vigencia_2001" localSheetId="0">#REF!</definedName>
    <definedName name="Vigencia_2001">#REF!</definedName>
    <definedName name="Vigencia_2002" localSheetId="0">#REF!</definedName>
    <definedName name="Vigencia_2002">#REF!</definedName>
    <definedName name="wvu.ComparEneMar9697." localSheetId="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localSheetId="0" hidden="1">{TRUE,TRUE,-2.75,-17.75,483,276.75,FALSE,TRUE,TRUE,TRUE,0,3,15,1,110,11,8,4,TRUE,TRUE,3,TRUE,1,TRUE,75,"Swvu.EneFeb.","ACwvu.EneFeb.",#N/A,FALSE,FALSE,1.24,0.787401575,0.74,0.984251969,1,"","",FALSE,FALSE,FALSE,FALSE,1,#N/A,1,1,#DIV/0!,FALSE,"Rwvu.EneFeb.","Cwvu.EneFeb.",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localSheetId="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localSheetId="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localSheetId="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localSheetId="0"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Z" localSheetId="0">'[31]CUA1-3'!#REF!</definedName>
    <definedName name="Z">'[31]CUA1-3'!#REF!</definedName>
    <definedName name="Z_91E95AE5_DCC2_11D0_8DF1_00805F2A002D_.wvu.Cols" hidden="1">'[20]Seguimiento CSF'!$L:$N,'[20]Seguimiento CSF'!$R:$BU</definedName>
    <definedName name="Z_91E95AE6_DCC2_11D0_8DF1_00805F2A002D_.wvu.Cols" hidden="1">'[20]Seguimiento CSF'!$L:$N,'[20]Seguimiento CSF'!$Q:$AD</definedName>
    <definedName name="Z_91E95AE6_DCC2_11D0_8DF1_00805F2A002D_.wvu.Rows" localSheetId="0" hidden="1">'[20]Seguimiento CSF'!#REF!,'[20]Seguimiento CSF'!#REF!</definedName>
    <definedName name="Z_91E95AE6_DCC2_11D0_8DF1_00805F2A002D_.wvu.Rows" hidden="1">'[20]Seguimiento CSF'!#REF!,'[20]Seguimiento CSF'!#REF!</definedName>
    <definedName name="Z_91E95AE7_DCC2_11D0_8DF1_00805F2A002D_.wvu.Cols" hidden="1">'[20]Resumen MES OPEF'!$C:$C,'[20]Resumen MES OPEF'!$N:$N,'[20]Resumen MES OPEF'!$Y:$Y,'[20]Resumen MES OPEF'!$AL:$AL,'[20]Resumen MES OPEF'!$AV:$AV,'[20]Resumen MES OPEF'!$BG:$BG,'[20]Resumen MES OPEF'!$BR:$BR,'[20]Resumen MES OPEF'!$CC:$CC</definedName>
    <definedName name="Z_91E95AE8_DCC2_11D0_8DF1_00805F2A002D_.wvu.Cols" hidden="1">'[20]Seguimiento CSF'!$L:$N,'[20]Seguimiento CSF'!$R:$AD,'[20]Seguimiento CSF'!$AY:$AY,'[20]Seguimiento CSF'!$BH:$BH,'[20]Seguimiento CSF'!$BQ:$BQ</definedName>
    <definedName name="Z_91E95AE9_DCC2_11D0_8DF1_00805F2A002D_.wvu.Cols" hidden="1">'[20]Seguimiento CSF'!$L:$N,'[20]Seguimiento CSF'!$R:$AD,'[20]Seguimiento CSF'!$AH:$AY,'[20]Seguimiento CSF'!$BA:$BH,'[20]Seguimiento CSF'!$BJ:$BQ,'[20]Seguimiento CSF'!$BS:$CF</definedName>
    <definedName name="Z_91E95AEB_DCC2_11D0_8DF1_00805F2A002D_.wvu.Cols" hidden="1">'[20]Resumen OPEF'!$E:$J,'[20]Resumen OPEF'!$M:$Q</definedName>
    <definedName name="Z_91E95AEC_DCC2_11D0_8DF1_00805F2A002D_.wvu.Cols" hidden="1">'[20]Resumen OPEF'!$C:$C,'[20]Resumen OPEF'!$E:$E,'[20]Resumen OPEF'!$H:$I,'[20]Resumen OPEF'!$K:$L,'[20]Resumen OPEF'!$O:$O</definedName>
  </definedNames>
  <calcPr calcId="145621"/>
</workbook>
</file>

<file path=xl/calcChain.xml><?xml version="1.0" encoding="utf-8"?>
<calcChain xmlns="http://schemas.openxmlformats.org/spreadsheetml/2006/main">
  <c r="Q273" i="44" l="1"/>
  <c r="P273" i="44"/>
  <c r="Q270" i="44"/>
  <c r="P270" i="44"/>
  <c r="Q268" i="44"/>
  <c r="P267" i="44"/>
  <c r="Q267" i="44" s="1"/>
  <c r="P265" i="44"/>
  <c r="Q265" i="44" s="1"/>
  <c r="P264" i="44"/>
  <c r="Q264" i="44" s="1"/>
  <c r="Q262" i="44"/>
  <c r="P262" i="44"/>
  <c r="Q261" i="44"/>
  <c r="P261" i="44"/>
  <c r="Q260" i="44"/>
  <c r="P260" i="44"/>
  <c r="P258" i="44"/>
  <c r="Q258" i="44" s="1"/>
  <c r="P240" i="44"/>
  <c r="Q240" i="44" s="1"/>
  <c r="Q179" i="44"/>
  <c r="Q158" i="44"/>
  <c r="P158" i="44"/>
  <c r="Q153" i="44"/>
  <c r="P153" i="44"/>
  <c r="Q122" i="44"/>
  <c r="P122" i="44"/>
  <c r="Q121" i="44"/>
  <c r="P121" i="44"/>
  <c r="Q120" i="44"/>
  <c r="P120" i="44"/>
  <c r="Q60" i="44"/>
  <c r="P60" i="44"/>
  <c r="Q30" i="44"/>
  <c r="P30" i="44"/>
  <c r="AG209" i="44" l="1"/>
  <c r="AF209" i="44"/>
  <c r="AG253" i="44"/>
  <c r="AF253" i="44"/>
  <c r="AG193" i="44"/>
  <c r="AF193" i="44"/>
  <c r="R218" i="44"/>
  <c r="AG217" i="44"/>
  <c r="AF217" i="44"/>
  <c r="R240" i="44" l="1"/>
  <c r="R239" i="44"/>
  <c r="AG64" i="44" l="1"/>
  <c r="AF64" i="44"/>
  <c r="AG63" i="44"/>
  <c r="AF63" i="44"/>
  <c r="AG62" i="44"/>
  <c r="AF62" i="44"/>
  <c r="AG61" i="44"/>
  <c r="AF61" i="44"/>
  <c r="AG60" i="44"/>
  <c r="AF60" i="44"/>
  <c r="AG58" i="44"/>
  <c r="AF58" i="44"/>
  <c r="AG57" i="44"/>
  <c r="AF57" i="44"/>
  <c r="AG56" i="44"/>
  <c r="AF56" i="44"/>
  <c r="AG55" i="44"/>
  <c r="AF55" i="44"/>
  <c r="AF54" i="44"/>
  <c r="AG53" i="44"/>
  <c r="AF53" i="44"/>
  <c r="AG52" i="44"/>
  <c r="AF52" i="44"/>
  <c r="AG51" i="44"/>
  <c r="AF51" i="44"/>
  <c r="AG50" i="44"/>
  <c r="AF50" i="44"/>
  <c r="AG49" i="44"/>
  <c r="AF49" i="44"/>
  <c r="AG48" i="44"/>
  <c r="AF48" i="44"/>
  <c r="AG208" i="44"/>
  <c r="AF208" i="44"/>
  <c r="AF207" i="44"/>
  <c r="AG257" i="44" l="1"/>
  <c r="AF257" i="44"/>
  <c r="AG286" i="44" l="1"/>
  <c r="AF286" i="44"/>
  <c r="AG139" i="44"/>
  <c r="AF139" i="44"/>
  <c r="AF138" i="44"/>
  <c r="AG136" i="44"/>
  <c r="AF136" i="44"/>
  <c r="AG138" i="44"/>
  <c r="AF194" i="44" l="1"/>
  <c r="AG194" i="44"/>
  <c r="AG196" i="44"/>
  <c r="AF196" i="44"/>
  <c r="Z292" i="44" l="1"/>
  <c r="Z291" i="44"/>
  <c r="Z290" i="44"/>
  <c r="Z289" i="44"/>
  <c r="Z288" i="44"/>
  <c r="Z287" i="44"/>
  <c r="Z286" i="44"/>
  <c r="Z285" i="44"/>
  <c r="Z283" i="44"/>
  <c r="Z282" i="44"/>
  <c r="Z281" i="44"/>
  <c r="Z280" i="44"/>
  <c r="Z279" i="44"/>
  <c r="Z278" i="44"/>
  <c r="Z277" i="44"/>
  <c r="Z276" i="44"/>
  <c r="Z275" i="44"/>
  <c r="Z274" i="44"/>
  <c r="Z273" i="44"/>
  <c r="Z272" i="44"/>
  <c r="Z271" i="44"/>
  <c r="Z270" i="44"/>
  <c r="Z269" i="44"/>
  <c r="Z268" i="44"/>
  <c r="Z267" i="44"/>
  <c r="Z266" i="44"/>
  <c r="Z265" i="44"/>
  <c r="Z264" i="44"/>
  <c r="Z263" i="44"/>
  <c r="Z262" i="44"/>
  <c r="Z261" i="44"/>
  <c r="Z260" i="44"/>
  <c r="Z258" i="44"/>
  <c r="Z257" i="44"/>
  <c r="Z256" i="44"/>
  <c r="Z255" i="44"/>
  <c r="Z254" i="44"/>
  <c r="Z252" i="44"/>
  <c r="Z251" i="44"/>
  <c r="Z250" i="44"/>
  <c r="Z249" i="44"/>
  <c r="Z248" i="44"/>
  <c r="Z247" i="44"/>
  <c r="Z246" i="44"/>
  <c r="Z245" i="44"/>
  <c r="Z244" i="44"/>
  <c r="Z243" i="44"/>
  <c r="Z242" i="44"/>
  <c r="Z241" i="44"/>
  <c r="Z240" i="44"/>
  <c r="Z238" i="44"/>
  <c r="Z237" i="44"/>
  <c r="Z236" i="44"/>
  <c r="Z235" i="44"/>
  <c r="Z234" i="44"/>
  <c r="Z233" i="44"/>
  <c r="Z232" i="44"/>
  <c r="Z230" i="44"/>
  <c r="Z229" i="44"/>
  <c r="Z228" i="44"/>
  <c r="Z227" i="44"/>
  <c r="Z222" i="44"/>
  <c r="Z221" i="44"/>
  <c r="Z220" i="44"/>
  <c r="Z219" i="44"/>
  <c r="Z218" i="44"/>
  <c r="Z217" i="44"/>
  <c r="Z215" i="44"/>
  <c r="Z214" i="44"/>
  <c r="Z213" i="44"/>
  <c r="Z212" i="44"/>
  <c r="Z211" i="44"/>
  <c r="Z210" i="44"/>
  <c r="Z209" i="44"/>
  <c r="Z208" i="44"/>
  <c r="Z207" i="44"/>
  <c r="Z206" i="44"/>
  <c r="Z205" i="44"/>
  <c r="Z204" i="44"/>
  <c r="Z203" i="44"/>
  <c r="Z202" i="44"/>
  <c r="Z201" i="44"/>
  <c r="Z200" i="44"/>
  <c r="Z199" i="44"/>
  <c r="Z198" i="44"/>
  <c r="Z196" i="44"/>
  <c r="Z195" i="44"/>
  <c r="Z194" i="44"/>
  <c r="Z193" i="44"/>
  <c r="Z191" i="44"/>
  <c r="Z190" i="44"/>
  <c r="Z189" i="44"/>
  <c r="Z188" i="44"/>
  <c r="Z187" i="44"/>
  <c r="Z186" i="44"/>
  <c r="Z185" i="44"/>
  <c r="Z184" i="44"/>
  <c r="Z183" i="44"/>
  <c r="Z182" i="44"/>
  <c r="Z181" i="44"/>
  <c r="Z180" i="44"/>
  <c r="Z179" i="44"/>
  <c r="Z178" i="44"/>
  <c r="Z177" i="44"/>
  <c r="Z176" i="44"/>
  <c r="Z175" i="44"/>
  <c r="Z174" i="44"/>
  <c r="Z172" i="44"/>
  <c r="Z171" i="44"/>
  <c r="Z170" i="44"/>
  <c r="Z169" i="44"/>
  <c r="Z168" i="44"/>
  <c r="Z166" i="44"/>
  <c r="Z165" i="44"/>
  <c r="Z164" i="44"/>
  <c r="Z163" i="44"/>
  <c r="Z162" i="44"/>
  <c r="Z161" i="44"/>
  <c r="Z160" i="44"/>
  <c r="Z159" i="44"/>
  <c r="Z158" i="44"/>
  <c r="Z157" i="44"/>
  <c r="Z156" i="44"/>
  <c r="Z153" i="44"/>
  <c r="Z152" i="44"/>
  <c r="Z151" i="44"/>
  <c r="Z150" i="44"/>
  <c r="Z149" i="44"/>
  <c r="Z147" i="44"/>
  <c r="Z146" i="44"/>
  <c r="Z145" i="44"/>
  <c r="Z144" i="44"/>
  <c r="Z143" i="44"/>
  <c r="Z141" i="44"/>
  <c r="Z140" i="44"/>
  <c r="Z139" i="44"/>
  <c r="Z138" i="44"/>
  <c r="Z137" i="44"/>
  <c r="Z136" i="44"/>
  <c r="Z134" i="44"/>
  <c r="Z133" i="44"/>
  <c r="Z132" i="44"/>
  <c r="Z131" i="44"/>
  <c r="Z130" i="44"/>
  <c r="Z129" i="44"/>
  <c r="Z128" i="44"/>
  <c r="Z127" i="44"/>
  <c r="Z126" i="44"/>
  <c r="Z125" i="44"/>
  <c r="Z124" i="44"/>
  <c r="Z123" i="44"/>
  <c r="Z122" i="44"/>
  <c r="Z121" i="44"/>
  <c r="Z120" i="44"/>
  <c r="Z119" i="44"/>
  <c r="Z118" i="44"/>
  <c r="Z117" i="44"/>
  <c r="Z116" i="44"/>
  <c r="Z115" i="44"/>
  <c r="Z114" i="44"/>
  <c r="Z113" i="44"/>
  <c r="Z112" i="44"/>
  <c r="Z111" i="44"/>
  <c r="Z110" i="44"/>
  <c r="Z109" i="44"/>
  <c r="Z108" i="44"/>
  <c r="Z107" i="44"/>
  <c r="Z106" i="44"/>
  <c r="Z105" i="44"/>
  <c r="Z104" i="44"/>
  <c r="Z103" i="44"/>
  <c r="Z102" i="44"/>
  <c r="Z101" i="44"/>
  <c r="Z100" i="44"/>
  <c r="Z99" i="44"/>
  <c r="Z98" i="44"/>
  <c r="Z97" i="44"/>
  <c r="Z96" i="44"/>
  <c r="Z95" i="44"/>
  <c r="Z94" i="44"/>
  <c r="Z93" i="44"/>
  <c r="Z92" i="44"/>
  <c r="Z91" i="44"/>
  <c r="Z90" i="44"/>
  <c r="Z89" i="44"/>
  <c r="Z88" i="44"/>
  <c r="Z85" i="44"/>
  <c r="Z84" i="44"/>
  <c r="Z83" i="44"/>
  <c r="Z81" i="44"/>
  <c r="Z80" i="44"/>
  <c r="Z79" i="44"/>
  <c r="Z78" i="44"/>
  <c r="Z77" i="44"/>
  <c r="Z76" i="44"/>
  <c r="Z75" i="44"/>
  <c r="Z74" i="44"/>
  <c r="Z73" i="44"/>
  <c r="Z72" i="44"/>
  <c r="Z71" i="44"/>
  <c r="Z70" i="44"/>
  <c r="Z69" i="44"/>
  <c r="Z68" i="44"/>
  <c r="Z67" i="44"/>
  <c r="Z66" i="44"/>
  <c r="Z65" i="44"/>
  <c r="Z64" i="44"/>
  <c r="Z63" i="44"/>
  <c r="Z62" i="44"/>
  <c r="Z61" i="44"/>
  <c r="Z59" i="44"/>
  <c r="Z58" i="44"/>
  <c r="Z57" i="44"/>
  <c r="Z56" i="44"/>
  <c r="Z55" i="44"/>
  <c r="Z54" i="44"/>
  <c r="Z53" i="44"/>
  <c r="Z52" i="44"/>
  <c r="Z51" i="44"/>
  <c r="Z50" i="44"/>
  <c r="Z49" i="44"/>
  <c r="Z48" i="44"/>
  <c r="Z47" i="44"/>
  <c r="Z46" i="44"/>
  <c r="Z45" i="44"/>
  <c r="Z44" i="44"/>
  <c r="Z43" i="44"/>
  <c r="Z42" i="44"/>
  <c r="Z41" i="44"/>
  <c r="Z40" i="44"/>
  <c r="Z39" i="44"/>
  <c r="Z38" i="44"/>
  <c r="Z37" i="44"/>
  <c r="Z36" i="44"/>
  <c r="Z35" i="44"/>
  <c r="Z34" i="44"/>
  <c r="Z33" i="44"/>
  <c r="Z32" i="44"/>
  <c r="Z31" i="44"/>
  <c r="Z30" i="44"/>
  <c r="Z29" i="44"/>
  <c r="Z27" i="44"/>
  <c r="Z26" i="44"/>
  <c r="Z25" i="44"/>
  <c r="Z24" i="44"/>
  <c r="Z23" i="44"/>
  <c r="Z22" i="44"/>
  <c r="Z20" i="44"/>
  <c r="Z19" i="44"/>
  <c r="Z18" i="44"/>
  <c r="Z17" i="44"/>
  <c r="Z16" i="44"/>
  <c r="Z15" i="44"/>
  <c r="Z11" i="44"/>
  <c r="Z10" i="44"/>
  <c r="L273" i="44" l="1"/>
  <c r="N267" i="44"/>
  <c r="O267" i="44" s="1"/>
  <c r="N240" i="44"/>
  <c r="O240" i="44" s="1"/>
  <c r="L171" i="44"/>
  <c r="T284" i="44" l="1"/>
  <c r="Z284" i="44" s="1"/>
  <c r="O265" i="44"/>
  <c r="N264" i="44"/>
  <c r="O264" i="44" s="1"/>
  <c r="O262" i="44"/>
  <c r="N262" i="44"/>
  <c r="O261" i="44"/>
  <c r="O260" i="44"/>
  <c r="N260" i="44"/>
  <c r="N258" i="44"/>
  <c r="O258" i="44" s="1"/>
  <c r="O158" i="44"/>
  <c r="N153" i="44"/>
  <c r="O153" i="44" s="1"/>
  <c r="O120" i="44"/>
  <c r="N60" i="44"/>
  <c r="O60" i="44" s="1"/>
  <c r="L55" i="44"/>
  <c r="L153" i="44" l="1"/>
  <c r="L60" i="44" l="1"/>
  <c r="W293" i="44" l="1"/>
  <c r="V293" i="44"/>
  <c r="T259" i="44"/>
  <c r="Z259" i="44" s="1"/>
  <c r="L258" i="44"/>
  <c r="T253" i="44"/>
  <c r="Z253" i="44" s="1"/>
  <c r="Y239" i="44"/>
  <c r="Z239" i="44" s="1"/>
  <c r="Y231" i="44"/>
  <c r="Z231" i="44" s="1"/>
  <c r="Y226" i="44"/>
  <c r="Z226" i="44" s="1"/>
  <c r="T225" i="44"/>
  <c r="Z225" i="44" s="1"/>
  <c r="T224" i="44"/>
  <c r="Z224" i="44" s="1"/>
  <c r="T223" i="44"/>
  <c r="Z223" i="44" s="1"/>
  <c r="X216" i="44"/>
  <c r="T197" i="44"/>
  <c r="Z197" i="44" s="1"/>
  <c r="T192" i="44"/>
  <c r="Z192" i="44" s="1"/>
  <c r="T173" i="44"/>
  <c r="Z173" i="44" s="1"/>
  <c r="T167" i="44"/>
  <c r="Z167" i="44" s="1"/>
  <c r="T155" i="44"/>
  <c r="Z155" i="44" s="1"/>
  <c r="Y154" i="44"/>
  <c r="Z154" i="44" s="1"/>
  <c r="U148" i="44"/>
  <c r="Z148" i="44" s="1"/>
  <c r="U142" i="44"/>
  <c r="Z142" i="44" s="1"/>
  <c r="Y135" i="44"/>
  <c r="Z135" i="44" s="1"/>
  <c r="Y87" i="44"/>
  <c r="Z87" i="44" s="1"/>
  <c r="U86" i="44"/>
  <c r="Z86" i="44" s="1"/>
  <c r="Y82" i="44"/>
  <c r="Z82" i="44" s="1"/>
  <c r="Y60" i="44"/>
  <c r="Z60" i="44" s="1"/>
  <c r="O30" i="44"/>
  <c r="N30" i="44"/>
  <c r="U28" i="44"/>
  <c r="Z28" i="44" s="1"/>
  <c r="L27" i="44"/>
  <c r="U21" i="44"/>
  <c r="Z21" i="44" s="1"/>
  <c r="U14" i="44"/>
  <c r="Z14" i="44" s="1"/>
  <c r="U13" i="44"/>
  <c r="Z13" i="44" s="1"/>
  <c r="U12" i="44"/>
  <c r="Z12" i="44" s="1"/>
  <c r="X293" i="44" l="1"/>
  <c r="Z216" i="44"/>
  <c r="T293" i="44"/>
  <c r="Y293" i="44"/>
  <c r="U293" i="44"/>
  <c r="Z293" i="44" l="1"/>
  <c r="AH293" i="44"/>
</calcChain>
</file>

<file path=xl/comments1.xml><?xml version="1.0" encoding="utf-8"?>
<comments xmlns="http://schemas.openxmlformats.org/spreadsheetml/2006/main">
  <authors>
    <author>user</author>
    <author>Rodriguez, Gabriel</author>
    <author>user1</author>
  </authors>
  <commentList>
    <comment ref="AB50" authorId="0">
      <text>
        <r>
          <rPr>
            <b/>
            <sz val="9"/>
            <color indexed="81"/>
            <rFont val="Tahoma"/>
            <family val="2"/>
          </rPr>
          <t>user:</t>
        </r>
        <r>
          <rPr>
            <sz val="9"/>
            <color indexed="81"/>
            <rFont val="Tahoma"/>
            <family val="2"/>
          </rPr>
          <t xml:space="preserve">
ajuste de redacción del indicador</t>
        </r>
      </text>
    </comment>
    <comment ref="AF55" authorId="1">
      <text>
        <r>
          <rPr>
            <b/>
            <sz val="9"/>
            <color indexed="81"/>
            <rFont val="Tahoma"/>
            <family val="2"/>
          </rPr>
          <t>Rodriguez, Gabriel:</t>
        </r>
        <r>
          <rPr>
            <sz val="9"/>
            <color indexed="81"/>
            <rFont val="Tahoma"/>
            <family val="2"/>
          </rPr>
          <t xml:space="preserve">
seguimiento BPN 3, DNT 2, DNTC 27, IVC 12
</t>
        </r>
      </text>
    </comment>
    <comment ref="AG55" authorId="1">
      <text>
        <r>
          <rPr>
            <b/>
            <sz val="9"/>
            <color indexed="81"/>
            <rFont val="Tahoma"/>
            <family val="2"/>
          </rPr>
          <t>Rodriguez, Gabriel:</t>
        </r>
        <r>
          <rPr>
            <sz val="9"/>
            <color indexed="81"/>
            <rFont val="Tahoma"/>
            <family val="2"/>
          </rPr>
          <t xml:space="preserve">
seguimiento BPN 3, DNT 2, DNTC 27, IVC 12
</t>
        </r>
      </text>
    </comment>
    <comment ref="J57" authorId="0">
      <text>
        <r>
          <rPr>
            <b/>
            <sz val="9"/>
            <color indexed="81"/>
            <rFont val="Tahoma"/>
            <family val="2"/>
          </rPr>
          <t>user:</t>
        </r>
        <r>
          <rPr>
            <sz val="9"/>
            <color indexed="81"/>
            <rFont val="Tahoma"/>
            <family val="2"/>
          </rPr>
          <t xml:space="preserve">
IAMI - INST. AMIGAS DE LA MUJER  Y LA INFANC.</t>
        </r>
      </text>
    </comment>
    <comment ref="AC57" authorId="0">
      <text>
        <r>
          <rPr>
            <b/>
            <sz val="9"/>
            <color indexed="81"/>
            <rFont val="Tahoma"/>
            <family val="2"/>
          </rPr>
          <t>user:</t>
        </r>
        <r>
          <rPr>
            <sz val="9"/>
            <color indexed="81"/>
            <rFont val="Tahoma"/>
            <family val="2"/>
          </rPr>
          <t xml:space="preserve">
IAMI - INST. AMIGAS DE LA MUJER  Y LA INFANC.</t>
        </r>
      </text>
    </comment>
    <comment ref="AA60" authorId="0">
      <text>
        <r>
          <rPr>
            <b/>
            <sz val="9"/>
            <color indexed="81"/>
            <rFont val="Tahoma"/>
            <family val="2"/>
          </rPr>
          <t>user:</t>
        </r>
        <r>
          <rPr>
            <sz val="9"/>
            <color indexed="81"/>
            <rFont val="Tahoma"/>
            <family val="2"/>
          </rPr>
          <t xml:space="preserve">
</t>
        </r>
      </text>
    </comment>
    <comment ref="AF129" authorId="2">
      <text>
        <r>
          <rPr>
            <b/>
            <sz val="9"/>
            <color indexed="81"/>
            <rFont val="Tahoma"/>
            <family val="2"/>
          </rPr>
          <t>KURATOMI:</t>
        </r>
        <r>
          <rPr>
            <sz val="9"/>
            <color indexed="81"/>
            <rFont val="Tahoma"/>
            <family val="2"/>
          </rPr>
          <t xml:space="preserve">
INCLUYE ACTUALIZACION SIGAM</t>
        </r>
      </text>
    </comment>
    <comment ref="AF136" authorId="0">
      <text>
        <r>
          <rPr>
            <b/>
            <sz val="9"/>
            <color indexed="81"/>
            <rFont val="Tahoma"/>
            <charset val="1"/>
          </rPr>
          <t>user:</t>
        </r>
        <r>
          <rPr>
            <sz val="9"/>
            <color indexed="81"/>
            <rFont val="Tahoma"/>
            <charset val="1"/>
          </rPr>
          <t xml:space="preserve">
DISTRIBUCIÓN PORCENTUAL CONTRATOS DE PP Y ROGELIO</t>
        </r>
      </text>
    </comment>
    <comment ref="AG136" authorId="0">
      <text>
        <r>
          <rPr>
            <b/>
            <sz val="9"/>
            <color indexed="81"/>
            <rFont val="Tahoma"/>
            <charset val="1"/>
          </rPr>
          <t>user:</t>
        </r>
        <r>
          <rPr>
            <sz val="9"/>
            <color indexed="81"/>
            <rFont val="Tahoma"/>
            <charset val="1"/>
          </rPr>
          <t xml:space="preserve">
DISTRIBUCIÓN PORCENTUAL CONTRATOS DE PP Y ROGELIO</t>
        </r>
      </text>
    </comment>
    <comment ref="AF138" authorId="0">
      <text>
        <r>
          <rPr>
            <b/>
            <sz val="9"/>
            <color indexed="81"/>
            <rFont val="Tahoma"/>
            <charset val="1"/>
          </rPr>
          <t>user:</t>
        </r>
        <r>
          <rPr>
            <sz val="9"/>
            <color indexed="81"/>
            <rFont val="Tahoma"/>
            <charset val="1"/>
          </rPr>
          <t xml:space="preserve">
DISTRIBUCIÓN PORCENTUAL CONTRATOS DE PP Y ROGELIO</t>
        </r>
      </text>
    </comment>
    <comment ref="AG138" authorId="0">
      <text>
        <r>
          <rPr>
            <b/>
            <sz val="9"/>
            <color indexed="81"/>
            <rFont val="Tahoma"/>
            <charset val="1"/>
          </rPr>
          <t>user:</t>
        </r>
        <r>
          <rPr>
            <sz val="9"/>
            <color indexed="81"/>
            <rFont val="Tahoma"/>
            <charset val="1"/>
          </rPr>
          <t xml:space="preserve">
DISTRIBUCIÓN PORCENTUAL CONTRATOS DE PP Y ROGELIO</t>
        </r>
      </text>
    </comment>
    <comment ref="J139" authorId="1">
      <text>
        <r>
          <rPr>
            <b/>
            <sz val="9"/>
            <color indexed="81"/>
            <rFont val="Tahoma"/>
            <family val="2"/>
          </rPr>
          <t>Rodriguez, Gabriel:</t>
        </r>
        <r>
          <rPr>
            <sz val="9"/>
            <color indexed="81"/>
            <rFont val="Tahoma"/>
            <family val="2"/>
          </rPr>
          <t xml:space="preserve">
Sobretasa bomberil</t>
        </r>
      </text>
    </comment>
    <comment ref="L187" authorId="1">
      <text>
        <r>
          <rPr>
            <b/>
            <sz val="9"/>
            <color indexed="81"/>
            <rFont val="Tahoma"/>
            <charset val="1"/>
          </rPr>
          <t>Rodriguez, Gabriel:</t>
        </r>
        <r>
          <rPr>
            <sz val="9"/>
            <color indexed="81"/>
            <rFont val="Tahoma"/>
            <charset val="1"/>
          </rPr>
          <t xml:space="preserve">
se ajusta valor esperado de 4 a 4000. se medirá por población y no por dotación anual</t>
        </r>
      </text>
    </comment>
    <comment ref="AF197" authorId="1">
      <text>
        <r>
          <rPr>
            <b/>
            <sz val="9"/>
            <color indexed="81"/>
            <rFont val="Tahoma"/>
            <family val="2"/>
          </rPr>
          <t>Rodriguez, Gabriel:</t>
        </r>
        <r>
          <rPr>
            <sz val="9"/>
            <color indexed="81"/>
            <rFont val="Tahoma"/>
            <family val="2"/>
          </rPr>
          <t xml:space="preserve">
9880000 ES DE EDUCACION</t>
        </r>
      </text>
    </comment>
    <comment ref="J206" authorId="1">
      <text>
        <r>
          <rPr>
            <b/>
            <sz val="9"/>
            <color indexed="81"/>
            <rFont val="Tahoma"/>
            <family val="2"/>
          </rPr>
          <t>Rodriguez, Gabriel:</t>
        </r>
        <r>
          <rPr>
            <sz val="9"/>
            <color indexed="81"/>
            <rFont val="Tahoma"/>
            <family val="2"/>
          </rPr>
          <t xml:space="preserve">
DOS EN UNO
</t>
        </r>
      </text>
    </comment>
    <comment ref="AC206" authorId="1">
      <text>
        <r>
          <rPr>
            <b/>
            <sz val="9"/>
            <color indexed="81"/>
            <rFont val="Tahoma"/>
            <family val="2"/>
          </rPr>
          <t>Rodriguez, Gabriel:</t>
        </r>
        <r>
          <rPr>
            <sz val="9"/>
            <color indexed="81"/>
            <rFont val="Tahoma"/>
            <family val="2"/>
          </rPr>
          <t xml:space="preserve">
DOS EN UNO
</t>
        </r>
      </text>
    </comment>
    <comment ref="J207" authorId="0">
      <text>
        <r>
          <rPr>
            <b/>
            <sz val="9"/>
            <color indexed="81"/>
            <rFont val="Tahoma"/>
            <family val="2"/>
          </rPr>
          <t>user:</t>
        </r>
        <r>
          <rPr>
            <sz val="9"/>
            <color indexed="81"/>
            <rFont val="Tahoma"/>
            <family val="2"/>
          </rPr>
          <t xml:space="preserve">
SAC - Serv. Atención a la Comunidad</t>
        </r>
      </text>
    </comment>
    <comment ref="L207" authorId="0">
      <text>
        <r>
          <rPr>
            <b/>
            <sz val="9"/>
            <color indexed="81"/>
            <rFont val="Tahoma"/>
            <family val="2"/>
          </rPr>
          <t>user:</t>
        </r>
        <r>
          <rPr>
            <sz val="9"/>
            <color indexed="81"/>
            <rFont val="Tahoma"/>
            <family val="2"/>
          </rPr>
          <t xml:space="preserve">
incluye call center</t>
        </r>
      </text>
    </comment>
    <comment ref="N209" authorId="1">
      <text>
        <r>
          <rPr>
            <b/>
            <sz val="9"/>
            <color indexed="81"/>
            <rFont val="Tahoma"/>
            <family val="2"/>
          </rPr>
          <t>Rodriguez, Gabriel:</t>
        </r>
        <r>
          <rPr>
            <sz val="9"/>
            <color indexed="81"/>
            <rFont val="Tahoma"/>
            <family val="2"/>
          </rPr>
          <t xml:space="preserve">
Riesgo</t>
        </r>
      </text>
    </comment>
    <comment ref="O209" authorId="1">
      <text>
        <r>
          <rPr>
            <b/>
            <sz val="9"/>
            <color indexed="81"/>
            <rFont val="Tahoma"/>
            <family val="2"/>
          </rPr>
          <t>Rodriguez, Gabriel:</t>
        </r>
        <r>
          <rPr>
            <sz val="9"/>
            <color indexed="81"/>
            <rFont val="Tahoma"/>
            <family val="2"/>
          </rPr>
          <t xml:space="preserve">
dos componentes: ambiente de control y estrategico</t>
        </r>
      </text>
    </comment>
    <comment ref="P209" authorId="1">
      <text>
        <r>
          <rPr>
            <b/>
            <sz val="9"/>
            <color indexed="81"/>
            <rFont val="Tahoma"/>
            <family val="2"/>
          </rPr>
          <t>Rodriguez, Gabriel:</t>
        </r>
        <r>
          <rPr>
            <sz val="9"/>
            <color indexed="81"/>
            <rFont val="Tahoma"/>
            <family val="2"/>
          </rPr>
          <t xml:space="preserve">
Subsistema de autoevaluacion</t>
        </r>
      </text>
    </comment>
    <comment ref="Q209" authorId="1">
      <text>
        <r>
          <rPr>
            <b/>
            <sz val="9"/>
            <color indexed="81"/>
            <rFont val="Tahoma"/>
            <family val="2"/>
          </rPr>
          <t>Rodriguez, Gabriel:</t>
        </r>
        <r>
          <rPr>
            <sz val="9"/>
            <color indexed="81"/>
            <rFont val="Tahoma"/>
            <family val="2"/>
          </rPr>
          <t xml:space="preserve">
subsistema de control de gestion</t>
        </r>
      </text>
    </comment>
    <comment ref="AF210" authorId="1">
      <text>
        <r>
          <rPr>
            <b/>
            <sz val="9"/>
            <color indexed="81"/>
            <rFont val="Tahoma"/>
            <family val="2"/>
          </rPr>
          <t>Rodriguez, Gabriel:</t>
        </r>
        <r>
          <rPr>
            <sz val="9"/>
            <color indexed="81"/>
            <rFont val="Tahoma"/>
            <family val="2"/>
          </rPr>
          <t xml:space="preserve">
20 de control interno</t>
        </r>
      </text>
    </comment>
    <comment ref="AF215" authorId="1">
      <text>
        <r>
          <rPr>
            <b/>
            <sz val="9"/>
            <color indexed="81"/>
            <rFont val="Tahoma"/>
            <family val="2"/>
          </rPr>
          <t>Rodriguez, Gabriel:</t>
        </r>
        <r>
          <rPr>
            <sz val="9"/>
            <color indexed="81"/>
            <rFont val="Tahoma"/>
            <family val="2"/>
          </rPr>
          <t xml:space="preserve">
596400000 ES DE EDUCACION</t>
        </r>
      </text>
    </comment>
    <comment ref="AB216" authorId="0">
      <text>
        <r>
          <rPr>
            <b/>
            <sz val="9"/>
            <color indexed="81"/>
            <rFont val="Tahoma"/>
            <family val="2"/>
          </rPr>
          <t>user:</t>
        </r>
        <r>
          <rPr>
            <sz val="9"/>
            <color indexed="81"/>
            <rFont val="Tahoma"/>
            <family val="2"/>
          </rPr>
          <t xml:space="preserve">
APP??</t>
        </r>
      </text>
    </comment>
    <comment ref="AF218" authorId="1">
      <text>
        <r>
          <rPr>
            <b/>
            <sz val="9"/>
            <color indexed="81"/>
            <rFont val="Tahoma"/>
            <family val="2"/>
          </rPr>
          <t>Rodriguez, Gabriel:</t>
        </r>
        <r>
          <rPr>
            <sz val="9"/>
            <color indexed="81"/>
            <rFont val="Tahoma"/>
            <family val="2"/>
          </rPr>
          <t xml:space="preserve">
1694346807 ES DE EDUCACION</t>
        </r>
      </text>
    </comment>
    <comment ref="J221" authorId="0">
      <text>
        <r>
          <rPr>
            <b/>
            <sz val="9"/>
            <color indexed="81"/>
            <rFont val="Tahoma"/>
            <family val="2"/>
          </rPr>
          <t>user:</t>
        </r>
        <r>
          <rPr>
            <sz val="9"/>
            <color indexed="81"/>
            <rFont val="Tahoma"/>
            <family val="2"/>
          </rPr>
          <t xml:space="preserve">
NO EQUIPOS DE COMPUTO</t>
        </r>
      </text>
    </comment>
    <comment ref="AC221" authorId="0">
      <text>
        <r>
          <rPr>
            <b/>
            <sz val="9"/>
            <color indexed="81"/>
            <rFont val="Tahoma"/>
            <family val="2"/>
          </rPr>
          <t>user:</t>
        </r>
        <r>
          <rPr>
            <sz val="9"/>
            <color indexed="81"/>
            <rFont val="Tahoma"/>
            <family val="2"/>
          </rPr>
          <t xml:space="preserve">
NO EQUIPOS DE COMPUTO</t>
        </r>
      </text>
    </comment>
    <comment ref="AF223" authorId="1">
      <text>
        <r>
          <rPr>
            <b/>
            <sz val="9"/>
            <color indexed="81"/>
            <rFont val="Tahoma"/>
            <family val="2"/>
          </rPr>
          <t>Rodriguez, Gabriel:</t>
        </r>
        <r>
          <rPr>
            <sz val="9"/>
            <color indexed="81"/>
            <rFont val="Tahoma"/>
            <family val="2"/>
          </rPr>
          <t xml:space="preserve">
1200000000 ES DE EDUCACION</t>
        </r>
      </text>
    </comment>
    <comment ref="L226" authorId="0">
      <text>
        <r>
          <rPr>
            <b/>
            <sz val="9"/>
            <color indexed="81"/>
            <rFont val="Tahoma"/>
            <family val="2"/>
          </rPr>
          <t>user:</t>
        </r>
        <r>
          <rPr>
            <sz val="9"/>
            <color indexed="81"/>
            <rFont val="Tahoma"/>
            <family val="2"/>
          </rPr>
          <t xml:space="preserve">
NO ACUMULAR</t>
        </r>
      </text>
    </comment>
    <comment ref="AB228" authorId="0">
      <text>
        <r>
          <rPr>
            <b/>
            <sz val="9"/>
            <color indexed="81"/>
            <rFont val="Tahoma"/>
            <family val="2"/>
          </rPr>
          <t>user:</t>
        </r>
        <r>
          <rPr>
            <sz val="9"/>
            <color indexed="81"/>
            <rFont val="Tahoma"/>
            <family val="2"/>
          </rPr>
          <t xml:space="preserve">
IMDER SGP</t>
        </r>
      </text>
    </comment>
    <comment ref="AC253" authorId="1">
      <text>
        <r>
          <rPr>
            <b/>
            <sz val="9"/>
            <color indexed="81"/>
            <rFont val="Tahoma"/>
            <charset val="1"/>
          </rPr>
          <t>Rodriguez, Gabriel:</t>
        </r>
        <r>
          <rPr>
            <sz val="9"/>
            <color indexed="81"/>
            <rFont val="Tahoma"/>
            <charset val="1"/>
          </rPr>
          <t xml:space="preserve">
EJECUTADO POR GOBIERNO</t>
        </r>
      </text>
    </comment>
    <comment ref="J254" authorId="0">
      <text>
        <r>
          <rPr>
            <b/>
            <sz val="9"/>
            <color indexed="81"/>
            <rFont val="Tahoma"/>
            <family val="2"/>
          </rPr>
          <t>user:</t>
        </r>
        <r>
          <rPr>
            <sz val="9"/>
            <color indexed="81"/>
            <rFont val="Tahoma"/>
            <family val="2"/>
          </rPr>
          <t xml:space="preserve">
COPACO - comité de participación comunitaria en salud</t>
        </r>
      </text>
    </comment>
    <comment ref="AC254" authorId="0">
      <text>
        <r>
          <rPr>
            <b/>
            <sz val="9"/>
            <color indexed="81"/>
            <rFont val="Tahoma"/>
            <family val="2"/>
          </rPr>
          <t>user:</t>
        </r>
        <r>
          <rPr>
            <sz val="9"/>
            <color indexed="81"/>
            <rFont val="Tahoma"/>
            <family val="2"/>
          </rPr>
          <t xml:space="preserve">
COPACO - comité de participación comunitaria en salud</t>
        </r>
      </text>
    </comment>
    <comment ref="AB259" authorId="0">
      <text>
        <r>
          <rPr>
            <b/>
            <sz val="9"/>
            <color indexed="81"/>
            <rFont val="Tahoma"/>
            <family val="2"/>
          </rPr>
          <t>KURATOMI:</t>
        </r>
        <r>
          <rPr>
            <sz val="9"/>
            <color indexed="81"/>
            <rFont val="Tahoma"/>
            <family val="2"/>
          </rPr>
          <t xml:space="preserve">
MAQUINARIOA PROPIA O CONVNEIO CON BATALLON</t>
        </r>
      </text>
    </comment>
    <comment ref="J265" authorId="0">
      <text>
        <r>
          <rPr>
            <b/>
            <sz val="9"/>
            <color indexed="81"/>
            <rFont val="Tahoma"/>
            <family val="2"/>
          </rPr>
          <t>KURATOMI:</t>
        </r>
        <r>
          <rPr>
            <sz val="9"/>
            <color indexed="81"/>
            <rFont val="Tahoma"/>
            <family val="2"/>
          </rPr>
          <t xml:space="preserve">
VALORIZACIÓN: peatonalización 30, prolongación de la 19 y anillo vial 3 - AJUSTAR INDICADOR (INCLUYE VIA LA CORBONERA</t>
        </r>
      </text>
    </comment>
    <comment ref="AC265" authorId="0">
      <text>
        <r>
          <rPr>
            <b/>
            <sz val="9"/>
            <color indexed="81"/>
            <rFont val="Tahoma"/>
            <family val="2"/>
          </rPr>
          <t>KURATOMI:</t>
        </r>
        <r>
          <rPr>
            <sz val="9"/>
            <color indexed="81"/>
            <rFont val="Tahoma"/>
            <family val="2"/>
          </rPr>
          <t xml:space="preserve">
VALORIZACIÓN: peatonalización 30, prolongación de la 19 y anillo vial 3 - AJUSTAR INDICADOR (INCLUYE VIA LA CORBONERA</t>
        </r>
      </text>
    </comment>
    <comment ref="N266" authorId="0">
      <text>
        <r>
          <rPr>
            <b/>
            <sz val="9"/>
            <color indexed="81"/>
            <rFont val="Tahoma"/>
            <family val="2"/>
          </rPr>
          <t>KURATOMI:</t>
        </r>
        <r>
          <rPr>
            <sz val="9"/>
            <color indexed="81"/>
            <rFont val="Tahoma"/>
            <family val="2"/>
          </rPr>
          <t xml:space="preserve">
Vehiculares</t>
        </r>
      </text>
    </comment>
    <comment ref="J268" authorId="0">
      <text>
        <r>
          <rPr>
            <b/>
            <sz val="9"/>
            <color indexed="81"/>
            <rFont val="Tahoma"/>
            <family val="2"/>
          </rPr>
          <t>KURATOMI:</t>
        </r>
        <r>
          <rPr>
            <sz val="9"/>
            <color indexed="81"/>
            <rFont val="Tahoma"/>
            <family val="2"/>
          </rPr>
          <t xml:space="preserve">
VALORIZACION??</t>
        </r>
      </text>
    </comment>
    <comment ref="AC268" authorId="0">
      <text>
        <r>
          <rPr>
            <b/>
            <sz val="9"/>
            <color indexed="81"/>
            <rFont val="Tahoma"/>
            <family val="2"/>
          </rPr>
          <t>KURATOMI:</t>
        </r>
        <r>
          <rPr>
            <sz val="9"/>
            <color indexed="81"/>
            <rFont val="Tahoma"/>
            <family val="2"/>
          </rPr>
          <t xml:space="preserve">
VALORIZACION??</t>
        </r>
      </text>
    </comment>
    <comment ref="J283" authorId="0">
      <text>
        <r>
          <rPr>
            <b/>
            <sz val="9"/>
            <color indexed="81"/>
            <rFont val="Tahoma"/>
            <family val="2"/>
          </rPr>
          <t>user:</t>
        </r>
        <r>
          <rPr>
            <sz val="9"/>
            <color indexed="81"/>
            <rFont val="Tahoma"/>
            <family val="2"/>
          </rPr>
          <t xml:space="preserve">
280 Carretas</t>
        </r>
      </text>
    </comment>
    <comment ref="AC283" authorId="0">
      <text>
        <r>
          <rPr>
            <b/>
            <sz val="9"/>
            <color indexed="81"/>
            <rFont val="Tahoma"/>
            <family val="2"/>
          </rPr>
          <t>user:</t>
        </r>
        <r>
          <rPr>
            <sz val="9"/>
            <color indexed="81"/>
            <rFont val="Tahoma"/>
            <family val="2"/>
          </rPr>
          <t xml:space="preserve">
280 Carretas</t>
        </r>
      </text>
    </comment>
    <comment ref="AF286" authorId="0">
      <text>
        <r>
          <rPr>
            <b/>
            <sz val="9"/>
            <color indexed="81"/>
            <rFont val="Tahoma"/>
            <family val="2"/>
          </rPr>
          <t>user:</t>
        </r>
        <r>
          <rPr>
            <sz val="9"/>
            <color indexed="81"/>
            <rFont val="Tahoma"/>
            <family val="2"/>
          </rPr>
          <t xml:space="preserve">
Incluye Rodrigo Diaz
</t>
        </r>
      </text>
    </comment>
  </commentList>
</comments>
</file>

<file path=xl/sharedStrings.xml><?xml version="1.0" encoding="utf-8"?>
<sst xmlns="http://schemas.openxmlformats.org/spreadsheetml/2006/main" count="1916" uniqueCount="1340">
  <si>
    <t>Desarrollar el principio de corresponsabilidad en la protección integral de los derechos de los adolescentes que están en riesgo de incurrir en una conducta punible o han incurrido en esta.</t>
  </si>
  <si>
    <t>EDUCACION</t>
  </si>
  <si>
    <t>SALUD</t>
  </si>
  <si>
    <t>CULTURA</t>
  </si>
  <si>
    <t>DEPORTE Y RECREACIÓN</t>
  </si>
  <si>
    <t>TRANSPORTE</t>
  </si>
  <si>
    <t>VIVIENDA</t>
  </si>
  <si>
    <t>EQUIPAMIENTO MUNICIPAL</t>
  </si>
  <si>
    <t>AGROPECUARIO</t>
  </si>
  <si>
    <t>PARTICIPACION CIUDADANA</t>
  </si>
  <si>
    <t>FORTALECIMIENTO INSTITUCIONAL</t>
  </si>
  <si>
    <t>Programa</t>
  </si>
  <si>
    <t>Subprograma</t>
  </si>
  <si>
    <t>Meta</t>
  </si>
  <si>
    <t>Indicador</t>
  </si>
  <si>
    <t>SECT.</t>
  </si>
  <si>
    <t>Cobertura educativa</t>
  </si>
  <si>
    <t>Alfabetización</t>
  </si>
  <si>
    <t>Educación por ciclos</t>
  </si>
  <si>
    <t>Difusión y fomento cultural</t>
  </si>
  <si>
    <t>Fomento al deporte y la recreación</t>
  </si>
  <si>
    <t>AGUA POTABLE Y SANEAMIENTO BÁSICO</t>
  </si>
  <si>
    <t xml:space="preserve">Porcentaje de cumplimiento de programas de formación musical y artística
</t>
  </si>
  <si>
    <t>Promoción artística y cultural</t>
  </si>
  <si>
    <t>ALCALDÍA MUNICIPAL DE PALMIRA</t>
  </si>
  <si>
    <t>Mejorar la capacidad productiva y competitiva empresarial</t>
  </si>
  <si>
    <t>Equidad de género</t>
  </si>
  <si>
    <t>Política pública de infancia y adolescencia</t>
  </si>
  <si>
    <t>Primera infancia (0 a 5 Años)</t>
  </si>
  <si>
    <t>Construir un nuevo establecimiento educativo</t>
  </si>
  <si>
    <t>Un establecimiento educativo construido</t>
  </si>
  <si>
    <t>Responsabilidad penal para adolescentes</t>
  </si>
  <si>
    <t>Sistema de responsabilidad penal para adolescentes</t>
  </si>
  <si>
    <t>Política pública de equidad de género</t>
  </si>
  <si>
    <t>Desempeño Integral</t>
  </si>
  <si>
    <t>Ruta de prevención</t>
  </si>
  <si>
    <t>RENOVACIÓN URBANA</t>
  </si>
  <si>
    <t>Titulación de predios</t>
  </si>
  <si>
    <t>PLANEACIÓN TERRITORIAL</t>
  </si>
  <si>
    <t>Crecimiento sostenible y competitividad</t>
  </si>
  <si>
    <t>AMBIENTAL</t>
  </si>
  <si>
    <t>IMDER</t>
  </si>
  <si>
    <t>JUSTICIA, SEGURIDAD Y CONVIVENCIA</t>
  </si>
  <si>
    <t>AGENDA</t>
  </si>
  <si>
    <t>Educación</t>
  </si>
  <si>
    <t>Salud</t>
  </si>
  <si>
    <t>Vivienda</t>
  </si>
  <si>
    <t>Objetivo Específico</t>
  </si>
  <si>
    <t>Vincular a 200 personas al programa de educación por ciclos</t>
  </si>
  <si>
    <t xml:space="preserve">Número de personas vinculadas al programa de educación por ciclos </t>
  </si>
  <si>
    <t>Palmira ciudad conectada</t>
  </si>
  <si>
    <t>Mejoramiento de la calidad educativa</t>
  </si>
  <si>
    <t>Actividad</t>
  </si>
  <si>
    <t>ICLD</t>
  </si>
  <si>
    <t>SGP</t>
  </si>
  <si>
    <t>OTROS</t>
  </si>
  <si>
    <t>Movilidad territorial</t>
  </si>
  <si>
    <t>Reducir en un 25% el tiempo promedio de desplazamiento a los centros de oferta de bienes y servicios públicos</t>
  </si>
  <si>
    <t>Porcentaje del tiempo promedio en el desplazamiento a los centros de oferta de bienes y servicios públicos reducido</t>
  </si>
  <si>
    <t>Porcentaje de casos de muertes de tránsito por accidente</t>
  </si>
  <si>
    <t>Mejorar la infraestructura física de las dependencias administrativas y de los bienes de uso público de propiedad del municipio</t>
  </si>
  <si>
    <t>PROMOCION SOCIAL (GRUPOS VULNERABLES)</t>
  </si>
  <si>
    <t>Garantizar la protección social integral incluyente para los grupos poblacionales con atención especial focalizada</t>
  </si>
  <si>
    <t>Protección social integral incluyente</t>
  </si>
  <si>
    <t>Garantizar la protección social integral incluyente al 100% de los grupos poblacionales con atención especial focalizada</t>
  </si>
  <si>
    <t xml:space="preserve">Porcentaje de grupos poblacionales con protección especial focalizada </t>
  </si>
  <si>
    <t>Articulación de la educación media</t>
  </si>
  <si>
    <t>Salud pública</t>
  </si>
  <si>
    <t>Aseguramiento</t>
  </si>
  <si>
    <t>Porcentaje de Población pobre no asegurada en el SGSSS</t>
  </si>
  <si>
    <t>Formular e implementar en 100% el programa de "Ciudad Digital"</t>
  </si>
  <si>
    <t>Desempeño fiscal</t>
  </si>
  <si>
    <t>Fortalecimiento de las finanzas municipales</t>
  </si>
  <si>
    <t xml:space="preserve">Porcentaje de incremento del indicador de desempeño fiscal </t>
  </si>
  <si>
    <t>Porcentaje de incremento de desempeño integral</t>
  </si>
  <si>
    <t>Porcentaje de cumplimiento del plan de vigilancia a las SGSSS.</t>
  </si>
  <si>
    <t xml:space="preserve"> Atención Primaria en Salud</t>
  </si>
  <si>
    <t>Fortalecer la prestación de servicios de atención primaria en salud</t>
  </si>
  <si>
    <t>Alcanzar el 90% la calidad de los servicios de atención primaria en salud</t>
  </si>
  <si>
    <t>Mejorar las condiciones de salud, bienestar y calidad de vida de la población intercultural y diversa, ciclos vitales y grupos vulnerables con enfoques determinantes</t>
  </si>
  <si>
    <t>Alcanzar el 100% en aseguramiento de la población pobre no asegurada.</t>
  </si>
  <si>
    <t xml:space="preserve">Aumentar la cobertura neta en educación básica (preescolar, básica primaria, básica secundaria y media).
</t>
  </si>
  <si>
    <t>Mejorar el desempeño fiscal de la entidad territorial.</t>
  </si>
  <si>
    <t>Mejorar el índice de desempeño integral municipal.</t>
  </si>
  <si>
    <t xml:space="preserve">Mejorar la gestión ambiental municipal a través del desarrollo de programas orientados a la conservación de  los recursos naturales y la mitigación de impactos ambientales </t>
  </si>
  <si>
    <t>Infraestructura eléctrica</t>
  </si>
  <si>
    <t xml:space="preserve">Difundir y fomentar el arte y la cultura </t>
  </si>
  <si>
    <t xml:space="preserve">Incrementar en 6% la productividad agropecuaria </t>
  </si>
  <si>
    <t>Productividad agropecuaria</t>
  </si>
  <si>
    <t xml:space="preserve">Reducir el déficit cualitativo y cuantitativo de vivienda
</t>
  </si>
  <si>
    <t xml:space="preserve">Incrementar el acceso a la educación superior </t>
  </si>
  <si>
    <t>Acceso a la educación superior</t>
  </si>
  <si>
    <t>Porcentaje de la infraestructura vial con mantenimiento</t>
  </si>
  <si>
    <t>Porcentaje de incremento de la cobertura de la infraestructura vial urbana y rural</t>
  </si>
  <si>
    <t>Porcentaje de niños y niñas mayores de 5  años y adolescentes protegidos</t>
  </si>
  <si>
    <t>AGENDA PARA EL CRECIMIENTO ECONÓMICO SOSTENIBLE Y LA COMPETITIVIDAD</t>
  </si>
  <si>
    <t>PROMOCIÓN DEL DESARROLLO ECONOMICO Y TURISMO</t>
  </si>
  <si>
    <t>AGENDA PARA EL FORTALECIMIENTO INSTITUCIONAL, LA PARTICIPACIÓN CIUDADANA Y EL CAPITAL SOCIAL</t>
  </si>
  <si>
    <t>AGENDA PARA LA INFRAESTRUCTURA, LA MOVILIDAD Y EL TRANSPORTE</t>
  </si>
  <si>
    <t>AGENDA PARA LA RENOVACIÓN URBANA Y EL DESARROLLO TERRITORIAL</t>
  </si>
  <si>
    <t>Beneficiar a 27 Instituciones Educativas con el programa de transformación de la calidad educativa "Todos a aprender"</t>
  </si>
  <si>
    <t>Beneficiar a estudiantes de grados 3, 5, 9, 10 y 11 de las 27 Instituciones Educativas con el programa de refuerzo de competencias</t>
  </si>
  <si>
    <t>Implementar acciones que garanticen la protección de todos los derechos del 100% de la primera infancia</t>
  </si>
  <si>
    <t>Impulsar la lectura, la escritura y facilitar la circulación y acceso a la información y el conocimiento</t>
  </si>
  <si>
    <t>Fomentar los procesos de formación artística y de creación cultural</t>
  </si>
  <si>
    <t>Fortalecer la apropiación social del Patrimonio Cultural</t>
  </si>
  <si>
    <t>SGR</t>
  </si>
  <si>
    <t>Alcanzar el 50% del tercer nivel del Manual de Gobierno en Línea para mejorar la calidad de la información y de los servicios prestados por medios electrónicos.</t>
  </si>
  <si>
    <t>Incrementar en un punto el PIB municipal</t>
  </si>
  <si>
    <t>Un punto del PIB municipal incrementado</t>
  </si>
  <si>
    <t>Incrementar la productividad agropecuaria</t>
  </si>
  <si>
    <t>Estrategia</t>
  </si>
  <si>
    <t>Palmira avanza en el deporte</t>
  </si>
  <si>
    <t>Promocionar y difundir la práctica deportiva y recreativa para el desarrollo de eventos, programas y proyectos en los diferentes sectores y segmentos poblacionales</t>
  </si>
  <si>
    <t>Número de proyectos para la conservación,  mantenimiento, protección, exhibición, divulgación y conocimiento de bienes de interés cultural ejecutados.</t>
  </si>
  <si>
    <t>Promover el cumplimiento de las acciones estratégicas para garantizar la equidad de género</t>
  </si>
  <si>
    <t>Atención integral a la primera infancia "Palmira protege y cuida"</t>
  </si>
  <si>
    <t>Otros servicios públicos</t>
  </si>
  <si>
    <t>Capacitación artística</t>
  </si>
  <si>
    <t xml:space="preserve"> AGENDA PARA LA PROSPERIDAD SOCIAL Y LA IGUALDAD DE OPORTUNIDADES</t>
  </si>
  <si>
    <t>Beneficiar con alimentación escolar al 100% de niños y jóvenes estudiantes de básica primaria y secundaria del sector rural y 100% de básica primaria del sector urbano</t>
  </si>
  <si>
    <t>Número de establecimientos educativas  privados cubiertos con el programa "Líderes del Siglo XXI"</t>
  </si>
  <si>
    <t>Incrementar a 10% el número de estudiantes que alcanzan el nivel B1 en competencias en lengua extranjera en las Pruebas Saber 11</t>
  </si>
  <si>
    <t>Evaluación educativa</t>
  </si>
  <si>
    <t>Número de docentes fortalecidos en competencias de lengua extranjera</t>
  </si>
  <si>
    <t>Número de foros de socialización de experiencias exitosas realizados</t>
  </si>
  <si>
    <t>Acceso al sistema educativo</t>
  </si>
  <si>
    <t xml:space="preserve">Mejorar la calidad con pertinencia educativa
</t>
  </si>
  <si>
    <t>Un programa de incentivos a la excelencia implementado</t>
  </si>
  <si>
    <t>Gestionar 1000 subsidios de matrícula a estudiantes con mejores resultados de Pruebas Saber de los estratos 1, 2 y 3.</t>
  </si>
  <si>
    <t>Las acciones de salud pública y promoción y prevención, serán ejecutadas en el marco de la estrategia de atención primaria en salud, de acuerdo con el Plan Territorial de Salud, además del fortalecimiento de los servicios de baja y mediana complejidad para mejorar la capacidad resolutiva en la prestación de servicios de salud.</t>
  </si>
  <si>
    <t xml:space="preserve">Mejorar la movilidad territorial y hacer eficiente el transporte público
</t>
  </si>
  <si>
    <t>DESARROLLO TERRITORIAL E INTEGRACIÓN SUBREGIONAL</t>
  </si>
  <si>
    <t>Desarrollo territorial subregional</t>
  </si>
  <si>
    <t>Acuerdos de integración subregional</t>
  </si>
  <si>
    <t xml:space="preserve">Gestionar y presentar 33 proyectos que impulsen el desarrollo territorial subregional </t>
  </si>
  <si>
    <t>Formular y ejecutar un proyecto de renovación urbana en la zona céntrica y galerías</t>
  </si>
  <si>
    <t>Un proyecto de renovación urbana en la zona céntrica y galerías formulado y ejecutado</t>
  </si>
  <si>
    <t>Renovación urbana</t>
  </si>
  <si>
    <t>Recuperación urbanística y socioeconómica del centro</t>
  </si>
  <si>
    <t>Recuperar el espacio público, generar desarrollo socioeconómico y modernizar la zona céntrica y el sector de Galerías.</t>
  </si>
  <si>
    <t>Implementar la política pública de equidad de género</t>
  </si>
  <si>
    <t>3 acciones implementadas de cada eje de la política pública de equidad de género</t>
  </si>
  <si>
    <t>Porcentaje de la Política pública Municipal de Equidad de Género implementada</t>
  </si>
  <si>
    <t>Gestión integral ambiental municipal</t>
  </si>
  <si>
    <t>Un plan integral de gestión ambiental municipal formulado e implementado</t>
  </si>
  <si>
    <t>Reducir en 50% el porcentaje de personas afectadas por riesgo de inundación y movimientos en masa</t>
  </si>
  <si>
    <t>Porcentaje de reducción de personas afectadas por riesgo de inundación y movimientos en masa</t>
  </si>
  <si>
    <t>Sistemas de acueducto y alcantarillado</t>
  </si>
  <si>
    <t>Ejecutar un programa de construcción, reposición y mantenimiento de redes eléctricas</t>
  </si>
  <si>
    <t>Financiar proyectos municipales con los recursos de la tasa de energía eléctrica para aumentar cobertura eléctrica</t>
  </si>
  <si>
    <t>Oferta y mejoramiento de vivienda</t>
  </si>
  <si>
    <t>Incrementar en 200 hectáreas las áreas de importancia estratégica para la conservación del recurso hídrico de acuerdo al Artículo 111 de la Ley 99 de 1993 y formular e implementar planes de manejo a 500 Ha.</t>
  </si>
  <si>
    <t>Un estudio que contenga mapas de amenaza, vulnerabilidad y riesgo para los escenarios de sismo, inundación, movimientos en masa e incendios forestales.</t>
  </si>
  <si>
    <t>Promover el cumplimiento del 30%  de la Política Pública Municipal de Equidad de Género</t>
  </si>
  <si>
    <t>PREVENCIÓN Y ATENCIÓN DE DESASTRES</t>
  </si>
  <si>
    <t>Gestión territorial</t>
  </si>
  <si>
    <t>Ordenamiento territorial</t>
  </si>
  <si>
    <t>Participación ciudadana</t>
  </si>
  <si>
    <t>Descentralizar las iniciativas de promoción y difusión de las diversas manifestaciones artísticas existentes en barrios y corregimientos del Municipio</t>
  </si>
  <si>
    <t>Ampliar la cobertura de los procesos de formación y capacitación descentralizada hacia comunidades de las zonas urbanas y rurales del Municipio, mediante el fortalecimiento institucional del Centro Cultural encargado de impartir la formación</t>
  </si>
  <si>
    <t>Gestionar a través de diversas instituciones de carácter nacional e internacional y de la estampilla pro cultura, el fortalecimiento de un Sistema Municipal de Bibliotecas</t>
  </si>
  <si>
    <t>Formular un programa de mantenimiento a los bienes de propiedad del municipio</t>
  </si>
  <si>
    <t>Brindar acceso al sistema educativo de los niños, niñas, adolescentes y jóvenes en los diferentes niveles educativos</t>
  </si>
  <si>
    <t>Lectura y bibliotecas para todos</t>
  </si>
  <si>
    <t>CRÉDITO</t>
  </si>
  <si>
    <t>Programar el mantenimiento preventivo y correctivo</t>
  </si>
  <si>
    <t>Reducir en 12% la comisión de delitos por homicidios, hurto y lesiones aplicando el Modelo Integral de Intervención de la Política Nacional de Seguridad y Convivencia Ciudadana</t>
  </si>
  <si>
    <t>Porcentaje de reducción de delitos por homicidios, hurto y lesiones aplicando el Modelo Integral de Intervención de la Política Nacional de Seguridad y Convivencia Ciudadana</t>
  </si>
  <si>
    <t>Política Nacional de Seguridad y Convivencia Ciudadana</t>
  </si>
  <si>
    <t xml:space="preserve">Número de programa de competencias ciudadanas implementado en las 117 Sedes Educativas </t>
  </si>
  <si>
    <t xml:space="preserve">Incrementar en 4% la cobertura neta en educación  preescolar, básica primaria, básica secundaria y media.
</t>
  </si>
  <si>
    <t>Porcentaje de niños y niñas de 0 a 5 años protegidos y con sus derechos restablecidos</t>
  </si>
  <si>
    <t>Fortalecimiento de la red pública</t>
  </si>
  <si>
    <t>Articular los procesos de participación comunitaria mediante un espacio concertación de políticas territoriales</t>
  </si>
  <si>
    <t xml:space="preserve">Un espacio de concertación de políticas territoriales articulado a los procesos de participación comunitaria </t>
  </si>
  <si>
    <t xml:space="preserve">Reducir en 10% la tasa de analfabetismo </t>
  </si>
  <si>
    <t>Beneficiar al 100% de niños, niñas, adolescentes y jóvenes del sector rural con transporte escolar donde no exista el servicio educativo en el sector donde habita</t>
  </si>
  <si>
    <t xml:space="preserve">Transferir a las 27 instituciones de educación media programas técnicos y tecnológicos </t>
  </si>
  <si>
    <t>VALORIZACION</t>
  </si>
  <si>
    <t>Gestión pública transparente y participativa</t>
  </si>
  <si>
    <t>Generar espacios de participación ciudadana para garantizar una gestión pública transparente</t>
  </si>
  <si>
    <t>Ejecutar un programa de promoción artística y cultural</t>
  </si>
  <si>
    <t xml:space="preserve">Fomentar espacios para la manifestación y desarrollo de iniciativas culturales </t>
  </si>
  <si>
    <t>Número de espacios fomentados para la manifestación y desarrollo de iniciativas culturales</t>
  </si>
  <si>
    <t>META DE RESULTADO</t>
  </si>
  <si>
    <t>AGENDA PARA UN HÁBITAT AMIGABLE CON EL MEDIO AMBIENTE</t>
  </si>
  <si>
    <t>Infraestructura vial</t>
  </si>
  <si>
    <t>Seguridad vial</t>
  </si>
  <si>
    <t>Mejoramiento de la infraestructura del municipio</t>
  </si>
  <si>
    <t>Seguridad alimentaria</t>
  </si>
  <si>
    <t>Gestión del riesgo</t>
  </si>
  <si>
    <t>Prevención al reclutamiento</t>
  </si>
  <si>
    <t>Apropiación del patrimonio cultural</t>
  </si>
  <si>
    <t xml:space="preserve">Sistema municipal de bibliotecas </t>
  </si>
  <si>
    <t xml:space="preserve"> Atención primaria en salud</t>
  </si>
  <si>
    <t>Calidad educativa</t>
  </si>
  <si>
    <t>Deserción escolar</t>
  </si>
  <si>
    <t>Infraestructura pública</t>
  </si>
  <si>
    <t>Plan de seguridad vial</t>
  </si>
  <si>
    <t>Incremento del 25% de estudiantes con alto desempeño en lenguaje (competencia propositiva y competencia interpretativa) y matemática (competencia solución de problemas y competencia comunicación) frente a los resultados de pruebas SABER 2009.</t>
  </si>
  <si>
    <t>25% de disminución de los estudiantes de las Instituciones Educativas zona urbana, en desempeño insuficiente, frente a los resultados de pruebas SABER 2009.</t>
  </si>
  <si>
    <t>Un Plan Territorial de Capacitación y Formación docente implementado</t>
  </si>
  <si>
    <t>Número de Instituciones Educativas cubiertas con el programa "Líderes del Siglo XXI"</t>
  </si>
  <si>
    <t>Ofrecer capacitación anual a 3.700 personas en programas de formación artística</t>
  </si>
  <si>
    <t xml:space="preserve">Ejecutar 3 proyectos para la conservación, mantenimiento, protección, exhibición, divulgación y conocimiento de 3 bienes de interés cultural y un proyecto para la formación de Vigías del Patrimonio.
</t>
  </si>
  <si>
    <t>Formular y ejecutar un programa donde converjan los 8 ejes de la Ley del deporte: Formativo, Competitivo, Universitario, Deporte social comunitario, Aficionado, Alto rendimiento, Asociado y Aficionado</t>
  </si>
  <si>
    <t>2 lineamientos de la política pública de juventud "Movilidad Social e Identidad y Cultura" implementado.</t>
  </si>
  <si>
    <t>Ajustar e implementar el Plan Integrado Único PIU</t>
  </si>
  <si>
    <t>Asistencia y atención a población víctima del desplazamiento forzado por el conflicto interno armado</t>
  </si>
  <si>
    <t>Porcentaje de población víctima del desplazamiento forzado por el conflicto interno armado beneficiada</t>
  </si>
  <si>
    <t>Formular e implementar el Plan Municipal de Gestión del Riesgo - PMGR</t>
  </si>
  <si>
    <t>Plan Municipal de Gestión del Riesgo</t>
  </si>
  <si>
    <t>Implementar un programa de seguridad alimentaria - Red de Seguridad Alimentaria ReSa</t>
  </si>
  <si>
    <t>Gestionar 2 proyectos de ciencia tecnología e innovación CTI articulado al "Parque Agroindustrial, Científico y Tecnológico del Pacífico"</t>
  </si>
  <si>
    <t>Aplicar en 10 Instituciones Educativas las metodologías flexibles</t>
  </si>
  <si>
    <t>Número de Instituciones Educativas con metodologías flexibles</t>
  </si>
  <si>
    <t>Ejecutar el programa de educación rural PER en las 9 Instituciones Educativas rurales</t>
  </si>
  <si>
    <t xml:space="preserve">Un programa de educación educativo rural PER ejecutado en las 9 Instituciones Educativas rurales </t>
  </si>
  <si>
    <t>Adicionar en 5% los recursos de gratuidad que se giran a cada una de las Instituciones Educativas oficiales</t>
  </si>
  <si>
    <t>Un Plan Municipal de Mediación Escolar para el Desarrollo Humano formulado en las 27 Instituciones Educativas</t>
  </si>
  <si>
    <t>Número de orientadores escolares asignados a las Instituciones Educativas</t>
  </si>
  <si>
    <t>Beneficiar a 10 Sedes Educativas con el programa de Plan Padrinos para reforzar los aprendizajes de los niños con dificultades de aprendizaje</t>
  </si>
  <si>
    <t xml:space="preserve">Número de Sedes Educativas que aplican el programa de Plan Padrinos </t>
  </si>
  <si>
    <t>Ampliar la infraestructura de 12 Sedes Educativas y mejorar la infraestructura de 25 Sedes Educativas</t>
  </si>
  <si>
    <t>12 Sedes Educativas ampliadas</t>
  </si>
  <si>
    <t>25 Sedes Educativas con mejoramiento de infraestructura</t>
  </si>
  <si>
    <t>150 cámaras de seguridad incrementadas en el marco del Sistema Integrado de Emergencias y Seguridad - SIES.</t>
  </si>
  <si>
    <t>Formular y ejecutar un proyecto urbanístico de recuperación de espacio público y de peatonalización en la zona céntrica y galerías</t>
  </si>
  <si>
    <t>Reducir la tasa de analfabetismo</t>
  </si>
  <si>
    <t xml:space="preserve">Disminuir la tasa de deserción escolar
</t>
  </si>
  <si>
    <t>Fomentar la actividad deportiva en la población</t>
  </si>
  <si>
    <t>Prevenir el reclutamiento y utilización de niños, niñas y adolescentes por parte de los grupos armados organizados al margen de la ley  y de otros grupos delictivos organizados</t>
  </si>
  <si>
    <t>Garantizar el goce efectivo de derechos a la población víctima del desplazamiento forzado por el conflicto interno armado</t>
  </si>
  <si>
    <t xml:space="preserve">Mejorar la cobertura del servicio de energía eléctrica
</t>
  </si>
  <si>
    <t>Mejorar la seguridad vial</t>
  </si>
  <si>
    <t>Impulsar los procesos de asociatividad subregional, la competitividad territorial y la promoción de la  inversión privada para lograr mayores niveles de crecimiento socioeconómico sostenible a partir de las potencialidades del territorio</t>
  </si>
  <si>
    <t>Ampliar la oferta educativa atendiendo a la población vulnerable, a todos los niños y niñas de la primera infancia, infancia y adolescencia, población iletrada, con discapacidad, etnia, entre otros, ampliando, mejorando y dotando las Instituciones Educativas</t>
  </si>
  <si>
    <t>Promover el ingreso y permanencia a estudios técnicos, tecnológicos y universitarios a los estudiantes del sector público a través de convenios y subsidios.</t>
  </si>
  <si>
    <t xml:space="preserve">Realizar convenios con Instituciones Educativas para el acceso a la educación de jóvenes y adultos  </t>
  </si>
  <si>
    <t xml:space="preserve">Incentivar la permanencia de los estudiantes dentro del sistema escolar complementando con recursos propios el transporte, desayunos escolares y la gratuidad general de todos los estudiantes.
</t>
  </si>
  <si>
    <t>Fortalecer los procesos de capacitación orientado a todos los actores del sistema educativo público.</t>
  </si>
  <si>
    <t>Diagnosticar factores de riesgo y protectores de reclutamiento, sensibilizar a la familia, la sociedad y el Estado en la prevención del reclutamiento</t>
  </si>
  <si>
    <t>Sensibilizar y capacitar a la sociedad, a la familia y el Estado en la corresponsabilidad de la responsabilidad penal de adolescentes</t>
  </si>
  <si>
    <t>Incrementar al  10% el acceso a la educación superior de la población estudiantil del estrato 1, 2 y 3</t>
  </si>
  <si>
    <t>Número de estudiantes de los estratos 1, 2 y 3 con acceso a la educación superior</t>
  </si>
  <si>
    <t xml:space="preserve">Porcentaje de reducción de la tasa de analfabetismo </t>
  </si>
  <si>
    <t xml:space="preserve">Porcentaje de reducción de la tasa de deserción escolar total
</t>
  </si>
  <si>
    <t>Disminuir un punto de la tasa de deserción escolar</t>
  </si>
  <si>
    <t>Incrementar en 25% el nivel de los resultados de las Pruebas Saber</t>
  </si>
  <si>
    <t>Porcentaje de incremento del nivel de los resultados de las Pruebas Saber</t>
  </si>
  <si>
    <t xml:space="preserve">Cumplir en 90% el Plan Territorial de Salud para mejorar las condiciones de salud, bienestar y calidad de vida de la población </t>
  </si>
  <si>
    <t>Porcentaje de cumplimiento del Plan Territorial de Salud (Anexo: Tabla de Indicadores del Plan Territorial de Salud)</t>
  </si>
  <si>
    <t>Porcentaje de calidad de los servicios de atención primaria en salud alcanzado</t>
  </si>
  <si>
    <t>Garantizar el acceso a las bibliotecas públicas al 100% de la comunidad</t>
  </si>
  <si>
    <t xml:space="preserve">Porcentaje de la comunidad con acceso a las bibliotecas públicas </t>
  </si>
  <si>
    <t>Cumplir el 100% de programas de formación musical y artística</t>
  </si>
  <si>
    <t>Ejecutar el 100% de los eventos para fortalecer la apropiación social del Patrimonio Cultural</t>
  </si>
  <si>
    <t>Porcentaje de eventos realizados para fortalecer la apropiación social del Patrimonio Cultural</t>
  </si>
  <si>
    <t>Porcentaje de incremento de la cobertura del programa de fomento al deporte y la recreación</t>
  </si>
  <si>
    <t>Incrementar al 15% la cobertura del programa de fomento al deporte y la recreación</t>
  </si>
  <si>
    <t xml:space="preserve">Garantizar el acceso al programa de responsabilidad penal al 100% de los adolescentes que están en riesgo de incurrir en una conducta punible o han incurrido en esta. </t>
  </si>
  <si>
    <t>Porcentaje de adolescentes en conflicto con la ley penal o en riesgo de incurrir en una conducta punible, vinculados al programa de responsabilidad penal para adolescentes</t>
  </si>
  <si>
    <t>Porcentaje de niños, niñas, adolescentes y jóvenes que han sido prevenidos del reclutamiento</t>
  </si>
  <si>
    <t>Garantizar la protección y el restablecimiento de derechos al 100% de niños y niñas mayores de 5 años y adolescentes</t>
  </si>
  <si>
    <t>Incrementar al 100% el goce de derechos de las personas víctimas del desplazamiento forzado por el conflicto interno armado</t>
  </si>
  <si>
    <t>Reducir en 2,7% el déficit cuantitativo de vivienda y en 0,2% el déficit cualitativo de vivienda</t>
  </si>
  <si>
    <t>Porcentaje de reducción de déficit cuantitativo  y cualitativo de vivienda</t>
  </si>
  <si>
    <t xml:space="preserve">Aumentar al 98% la cobertura del servicio de energía eléctrica rural
</t>
  </si>
  <si>
    <t xml:space="preserve">Incremento del porcentaje de cobertura del servicio de energía eléctrica rural </t>
  </si>
  <si>
    <t xml:space="preserve">Porcentaje de incremento de la productividad agropecuaria </t>
  </si>
  <si>
    <t xml:space="preserve">Garantizar el acceso a la alimentación al 6% de la población en situación de extrema pobreza </t>
  </si>
  <si>
    <t>Porcentaje de acceso a la alimentación de la población en situación de extrema pobreza</t>
  </si>
  <si>
    <t>Incrementar al 80% el indicador de desempeño fiscal</t>
  </si>
  <si>
    <t>Porcentaje de cumplimiento del programa de mantinimiento a los bienes de propiedad del municipio</t>
  </si>
  <si>
    <t>Reducir en 80% los casos de muertes de tránsito por accidente</t>
  </si>
  <si>
    <t>Articular el municipio a 2 acuerdos de Integración subregional</t>
  </si>
  <si>
    <t>Número de acuerdos de integración subregional articulados al municipio</t>
  </si>
  <si>
    <t>Creación artística y cultural</t>
  </si>
  <si>
    <t>Red de Seguridad Alimentaria - ReSa</t>
  </si>
  <si>
    <t>Línea de Base Dic.2011</t>
  </si>
  <si>
    <t>META DE PRODUCTO</t>
  </si>
  <si>
    <t>RESPON.</t>
  </si>
  <si>
    <t>Cultura</t>
  </si>
  <si>
    <t>Gobierno</t>
  </si>
  <si>
    <t>Integración Social</t>
  </si>
  <si>
    <t>Ambiente</t>
  </si>
  <si>
    <t>Planeación</t>
  </si>
  <si>
    <t>Infraestructura</t>
  </si>
  <si>
    <t>Agricultura</t>
  </si>
  <si>
    <t>TIC</t>
  </si>
  <si>
    <t>Hacienda</t>
  </si>
  <si>
    <t>Desarrollo Institucional</t>
  </si>
  <si>
    <t>Comunicaciones</t>
  </si>
  <si>
    <t>Movilidad</t>
  </si>
  <si>
    <t>Gestionar recursos para la construcción de la fase II de la I etapa de la Universidad del Valle</t>
  </si>
  <si>
    <t>POAI-2012</t>
  </si>
  <si>
    <t>POAI-2013</t>
  </si>
  <si>
    <t>Fuentes de Financiación</t>
  </si>
  <si>
    <t>Gestión municipal del riesgo</t>
  </si>
  <si>
    <t>Plan parcial de renovación urbana</t>
  </si>
  <si>
    <t>Plan de manejo especial (Conjunto los Bolos, Amaime y La Buitrera) y Plan Comuna 1, 2 y 5,</t>
  </si>
  <si>
    <t xml:space="preserve">Electrificacion e iluminación </t>
  </si>
  <si>
    <t>Reforma administrativa</t>
  </si>
  <si>
    <t>Mejoramiento y mantenimiento de infraestructura propia del sector</t>
  </si>
  <si>
    <t>identificacion de los bienes muebles y avaluo de los mismos</t>
  </si>
  <si>
    <t>Plan Integral de Seguridad y Convivencia Ciudadana</t>
  </si>
  <si>
    <t>Convenio Interadministrativo, Municipio el INPEC</t>
  </si>
  <si>
    <t>Plan para el fortalecimiento a la asociatividad en el sector agropecuario.</t>
  </si>
  <si>
    <t>Plan sostenible para el desarrollo y fomento del sector agropecuario</t>
  </si>
  <si>
    <t>Asesoria Juridica para la Titulación de Predios Rural</t>
  </si>
  <si>
    <t>Caracterización Agropecuaria del Municipio de Palmira</t>
  </si>
  <si>
    <t>Sanidad Animal en el Municipio de Palmira</t>
  </si>
  <si>
    <t>Macrorueda de Negocio</t>
  </si>
  <si>
    <t>Fortalecimiento a unidades productivas empresariales.</t>
  </si>
  <si>
    <t>Fortaler docentes de segunda lengua</t>
  </si>
  <si>
    <t>Plan Muncipal de mediación escolar</t>
  </si>
  <si>
    <t>Competencias ciudadanas</t>
  </si>
  <si>
    <t>Orientadores escolares</t>
  </si>
  <si>
    <t>Capacitación docentes, directivos y administrativos</t>
  </si>
  <si>
    <t>foros educativos</t>
  </si>
  <si>
    <t>Fortalecimiento del Sistema Municipal de Bibliotecas</t>
  </si>
  <si>
    <t>Formación artística y cultural</t>
  </si>
  <si>
    <t>Promoción del arte y la cultura en el Municipio de Palmira</t>
  </si>
  <si>
    <t>Dotación de equipos de cómputo a tres (03) bibliotecas públicas o comunitarias del Municipio de Pamira.</t>
  </si>
  <si>
    <t>Construcción, ubicación y puesta en marcha de una (01) biblioteca modular infantil en los parques de la ciudad.</t>
  </si>
  <si>
    <t>Diseño y elaboración de tres bibliotecas modulares itinerantes para su ubicación en los parques de la ciudad.</t>
  </si>
  <si>
    <t>Dotar de material bibliográfico a dos (02) bibliotecas del Municipio de Palmira.</t>
  </si>
  <si>
    <t>Realizar en la Casa de la Cultura Ricardo Nieto y en barrios y corregimientos del Municipio, talleres formativos para niños de la primera infancia.</t>
  </si>
  <si>
    <t>Dictar talleres artísticos en barrios, corregimientos e instituciones oficiales.</t>
  </si>
  <si>
    <t>Creación y puesta en marcha del Instituto Municipal de Artes de Palmira</t>
  </si>
  <si>
    <t>Realizar talleres de formación en gestión cultural.</t>
  </si>
  <si>
    <t xml:space="preserve">Recuperación del edificio de la Antigua Estación del Ferrocarril
Realizar campañas de difusión del patrimonio cultural del Municipio de Palmira.
</t>
  </si>
  <si>
    <t>Talleres de formación a creadores y gestores culturales en torno al tema de industrias culturales.</t>
  </si>
  <si>
    <t>Atención Integral para niños y niñas de primera infancia</t>
  </si>
  <si>
    <t>Funcionamiento del Hogar de paso</t>
  </si>
  <si>
    <t>Compra de Predios para protección y conservación</t>
  </si>
  <si>
    <t>Control interno</t>
  </si>
  <si>
    <t>Coordinar las actividades en materia de atenicón integral a las víctimas</t>
  </si>
  <si>
    <t>Gestión fiscal, moderna y sostenible</t>
  </si>
  <si>
    <t>Gestión de vivienda</t>
  </si>
  <si>
    <t>Programa para garantizar la prestación del servicio educativo en términos de cobertura para la zona urbana y rural del municipio de palmira</t>
  </si>
  <si>
    <t>Atención en necesidades educativas especiales</t>
  </si>
  <si>
    <t>Programa para garantizar la prestación del servicio educativo en términos de calidad para la zona urbana y rural del municipio de palmira</t>
  </si>
  <si>
    <t>Dotación de materiales y medio pedagógicos en Sedes Educativas</t>
  </si>
  <si>
    <t>Dotación de equipos de laboratorio</t>
  </si>
  <si>
    <t>Certificación de procesos del SGC.</t>
  </si>
  <si>
    <t>Cuota de administración</t>
  </si>
  <si>
    <t xml:space="preserve">Plan ampliado de inmunizaciones PAI
</t>
  </si>
  <si>
    <t>Salud pública colectiva</t>
  </si>
  <si>
    <t>Desarrollo de la Política pública de salud mental, incluyendo actividades de promoción y prevención</t>
  </si>
  <si>
    <t>Programa de facilitación de acceso al parto institucional</t>
  </si>
  <si>
    <t>Capacitación al talento humano en salud para atención calificada del binomio madre-hijo</t>
  </si>
  <si>
    <t xml:space="preserve">Campañas de prevención en mortalidad por infección respiratoria aguda (IRA) en menores de 1 y 5 años
</t>
  </si>
  <si>
    <t>Inspección, vigilancia y control - IVC de la atención en salud a la primera infancia</t>
  </si>
  <si>
    <t xml:space="preserve">Campaña de prevención en  mortalidad por enfermedad diarreica aguda (EDA) en menores de 1 y  5 años
</t>
  </si>
  <si>
    <t>Campaña de lactancia materna en las 24 instituciones prestadoras de salud IPS</t>
  </si>
  <si>
    <t xml:space="preserve">Campaña de detección temprana de VIH  para población en riesgo
</t>
  </si>
  <si>
    <t xml:space="preserve">Campaña de comunicación de prevención de VIH/SIDA en población heterosexual, LGTBI y trabajadoras sexuales
</t>
  </si>
  <si>
    <t>Afiliación al SGSSS de población pobre no asegurada</t>
  </si>
  <si>
    <t>Campaña de promoción para la afiliación al SGSSS</t>
  </si>
  <si>
    <t>Auditoria a aseguradores incluyendo regimen subsidiado - IVC Supersalud</t>
  </si>
  <si>
    <t xml:space="preserve">Fortalecimiento de la infraestructura de la red pública hospitalaria con enfasis en el reforzamiento estructural. </t>
  </si>
  <si>
    <t>Fortalecimiento institucional de la red pública hospitalaria para la prestación de servicios de salud</t>
  </si>
  <si>
    <t>Resocialización de jóvenes infractores con intervención sicosocial y su entorno familiar</t>
  </si>
  <si>
    <t>Funcionamiento del Sistema de responsabilidad penal</t>
  </si>
  <si>
    <t>Prevención al reclutamiento forzado, de niños, niñas, adolescentes y jóvenes</t>
  </si>
  <si>
    <t xml:space="preserve">Efectuar campañas  sobre  los factores de riesgo y protectorres que inciden en el reclutamineto </t>
  </si>
  <si>
    <t xml:space="preserve">Capacitación en prevención del reclutamiento forzado al Consejo Municipal de Política Social </t>
  </si>
  <si>
    <t>Funcionamiento de la Ruta de atencion para la prevencion al reclutamineto</t>
  </si>
  <si>
    <t>Implementación de acciones en los 7 ejes de la Política</t>
  </si>
  <si>
    <t xml:space="preserve">Estudios y diseños de  Centros de Desarrollo Infantil Temprano </t>
  </si>
  <si>
    <t>Restablecimiento de derechos</t>
  </si>
  <si>
    <t>Seguimiento al cumplimiento de la política pública de infancia y adolescencia</t>
  </si>
  <si>
    <t xml:space="preserve">Campaña de sencibilizaciòn y socializaciòn y puesta en funcionamiento el  CIETI </t>
  </si>
  <si>
    <t>Rendición de cuentas</t>
  </si>
  <si>
    <t xml:space="preserve">Movilizaciones sociales, invitacion a la juventud,y despliegue publicitarios         </t>
  </si>
  <si>
    <t>Campañas de promoción en los CMJ</t>
  </si>
  <si>
    <t>Funcionamiento del observatorio</t>
  </si>
  <si>
    <t>Programas de orientación y capacitacion al migrante y su familia</t>
  </si>
  <si>
    <t xml:space="preserve">Implementar actividades de impacto social para el fomento del desarrollo y la convivencia de los habitantes </t>
  </si>
  <si>
    <t xml:space="preserve">Implementar actividades de impacto socio-económico para el mejoramiento de la calidad de vida </t>
  </si>
  <si>
    <t>Asistencia técnica ambiental al sector empresarial</t>
  </si>
  <si>
    <t>Realizar en la Casa de la Cultura Ricardo Nieto y en barrios y corregimientos del Municipio, talleres formativos para adultos</t>
  </si>
  <si>
    <t>Apropiación y fortalecimiento del patrimonio cultural</t>
  </si>
  <si>
    <t xml:space="preserve">Encuentro gastronómico en los corredores turísticos del Municipio
</t>
  </si>
  <si>
    <t>XVIII Festival internacional de Arte Ricardo Nieto</t>
  </si>
  <si>
    <t>Muiestra artesanal, incluyendo capacitación en el desarrollo de productos</t>
  </si>
  <si>
    <t>Apoyo a la creación, difusión y promoción de los artistas locales</t>
  </si>
  <si>
    <t>Convocatoria, organización y ejecución de estimulos a la creación artística.</t>
  </si>
  <si>
    <t>Dotación de equipos por cuadrante</t>
  </si>
  <si>
    <t>Compra de cámaras de seguridad</t>
  </si>
  <si>
    <t xml:space="preserve">Adecuación de CAI </t>
  </si>
  <si>
    <t>Fortalecer la Casa de Justicia, estableciendo un Centro de Convivencia Ciudadana con sistemas de información en áreas priorizadas</t>
  </si>
  <si>
    <t xml:space="preserve">Formentar cultura de responsabilidad y autoregulación ciudadana, responsabilidad vial, relaciones interpersonales, difusión del manual de convivencia ciudadana, </t>
  </si>
  <si>
    <t>Suministro y dotación de equipos</t>
  </si>
  <si>
    <t>Compra de motos</t>
  </si>
  <si>
    <t>Ampliación y dififusión del 123</t>
  </si>
  <si>
    <t>Fortalecer el ejercicio de los inspectores policiales</t>
  </si>
  <si>
    <t xml:space="preserve">Fortalecer a los Jueces de Paz </t>
  </si>
  <si>
    <t>Campañas en las Instituciones Educativas (Entrega de material didáctico)</t>
  </si>
  <si>
    <t>Fortalecimiento del COSO</t>
  </si>
  <si>
    <t>Apoyo a Clubes Juveniles Comunitarios</t>
  </si>
  <si>
    <t xml:space="preserve">Acompañamiento Institucional a la Policía comunitaria e Infancia y adolescencia </t>
  </si>
  <si>
    <t xml:space="preserve">Sensibilización de internos carcelarios para su resocialización </t>
  </si>
  <si>
    <t>Atención integral a víctimas por el conflicto armado</t>
  </si>
  <si>
    <t>Confinanciación de proyectos de seguridad y convivencia ciudadana</t>
  </si>
  <si>
    <t>Gastos notariales y fiscales</t>
  </si>
  <si>
    <t>Realizar el estudio e implementarlo</t>
  </si>
  <si>
    <t>Realizar el estudio técnico de vías de acceso y redes</t>
  </si>
  <si>
    <t>Realizar el estudio del Plan Estratégico de Movilidad e implementarlo</t>
  </si>
  <si>
    <t>Hace parte del estudio</t>
  </si>
  <si>
    <t>Programación y ejecución de actividades de señalización y demarcación</t>
  </si>
  <si>
    <t>Programación de jornadas educativas y pedagógicas</t>
  </si>
  <si>
    <t>Convenio con la Policiía</t>
  </si>
  <si>
    <t>Mantenimiento red semafórica</t>
  </si>
  <si>
    <t>Gestionar recursos para su financiación e implementación</t>
  </si>
  <si>
    <t>Diseño e implementación del programa en 4 fases (I. Caracterización, 2. Identificación de alternativas y Capacitación, 3. Entrega de alternativas y 4. Seguimiento y acompañamiento</t>
  </si>
  <si>
    <t>Tercerizar el proceso de registro</t>
  </si>
  <si>
    <t>Plan estratégico de transporte público</t>
  </si>
  <si>
    <t>Hace parte de los productos del estudio del Sistema Estratégico de Transporte</t>
  </si>
  <si>
    <t>Iluminación y electrificación en sector urbano y rural</t>
  </si>
  <si>
    <t>Reposición de luminarias</t>
  </si>
  <si>
    <t>Piloto de energía alternativa</t>
  </si>
  <si>
    <t>Mantenimiento y recuperación vial</t>
  </si>
  <si>
    <t>Mantenimiento de vías sin pavimento</t>
  </si>
  <si>
    <t xml:space="preserve">Construcción de gaviones </t>
  </si>
  <si>
    <t>Construcción de muros de contención</t>
  </si>
  <si>
    <t>Pavimento de vías urbanas</t>
  </si>
  <si>
    <t>Construcción y definición de ciclo rutas</t>
  </si>
  <si>
    <t>Construcción vías del plan vial</t>
  </si>
  <si>
    <t>Construcción de puentes vehiculares y peatonales</t>
  </si>
  <si>
    <t>Pavimento de vías rurales</t>
  </si>
  <si>
    <t xml:space="preserve">Construcción de vías de acceso al terminal de transporte </t>
  </si>
  <si>
    <t>Construcción de rampas</t>
  </si>
  <si>
    <t>Construcción de andenes en zona rural</t>
  </si>
  <si>
    <t>Construcción de andenes en zona urbana</t>
  </si>
  <si>
    <t>Masificación y Fomento al deporte y la recreación</t>
  </si>
  <si>
    <t>Juegos deportivos universitarios e intercolegiados</t>
  </si>
  <si>
    <t>Iniciación deportiva para la primera infancia, infancia y adolescencia</t>
  </si>
  <si>
    <t>Preparación a juegos departamentales y paralímpicos</t>
  </si>
  <si>
    <t xml:space="preserve">Participación campeonato nacional  de fútbol sub-19 </t>
  </si>
  <si>
    <t>Contratación de entrenadores, monitores, auxiliares y personal médico</t>
  </si>
  <si>
    <t xml:space="preserve">Participación de eventos deportivos departamentales y nacionales </t>
  </si>
  <si>
    <t>Juegos deportivos comunales</t>
  </si>
  <si>
    <t>Juegos deportivos rurales</t>
  </si>
  <si>
    <t>Capacitación técnica a entrenadores, monitores y líderes comunitarios</t>
  </si>
  <si>
    <t xml:space="preserve">Programas recreativos y deportivos para la población en situación de desplazamiento </t>
  </si>
  <si>
    <t>Apoyo técnico a disciplinas deportivas y eventos deportivos para el sector de discapacidad</t>
  </si>
  <si>
    <t xml:space="preserve">Implmentación del del comité de investigación, ciencia y técnilogia en el deporte </t>
  </si>
  <si>
    <t>Mantenimiento a la infraestructura deportiva y recreativa</t>
  </si>
  <si>
    <t xml:space="preserve">Construción y adecuación de espacios recreativos y deportivos  </t>
  </si>
  <si>
    <t xml:space="preserve">Modernización institucional en informática </t>
  </si>
  <si>
    <t>Convenio con Operadores de Internet</t>
  </si>
  <si>
    <t>Convenios con el SENA, Instituciones y /o Universidades</t>
  </si>
  <si>
    <t>Convenio con el Ministerio de las TIC- Programa de Computadores para Educar</t>
  </si>
  <si>
    <t>Plan de medios y difusión de planes, programas y proyectos que adelanta la administracion municipal</t>
  </si>
  <si>
    <t>Piezas publicitarias del manual corporativo y capacitación al todo el personal que labora en la Administración Municipal</t>
  </si>
  <si>
    <t>Formación competencias laborales para personas en condiciones de desplazamiento forzado por el conflicto interno armado</t>
  </si>
  <si>
    <t xml:space="preserve">Asistencia técnica agropecuaria integral </t>
  </si>
  <si>
    <t>Transferencia de tecnología</t>
  </si>
  <si>
    <t>Proyectos productivos cofinanciados</t>
  </si>
  <si>
    <t>Proyectos productivos cofinanciados - FORAM</t>
  </si>
  <si>
    <t>Fiesta nacional de la agricultura, eventos y espectáculos</t>
  </si>
  <si>
    <t xml:space="preserve">Fortalecimiento de la productividad agropecuaria </t>
  </si>
  <si>
    <t>Programa de seguridad alimentaria rural</t>
  </si>
  <si>
    <t>Programa de seguridad alimentaria urbana</t>
  </si>
  <si>
    <t>Programa de Culinaria Nativa</t>
  </si>
  <si>
    <t>Plan para el crecimiento sostenible y la competitividad empresarial</t>
  </si>
  <si>
    <t>Fondo de desarrollo económico Municipal</t>
  </si>
  <si>
    <t>Formalización y legalización de unidades productivas empresariales</t>
  </si>
  <si>
    <t>Emprendimiento empresarial</t>
  </si>
  <si>
    <t>Programa integral de desarrollo empresarial en el marco de la Agenda de Competitividad</t>
  </si>
  <si>
    <t>Plan para el fomento del desarrollo de la industria</t>
  </si>
  <si>
    <t>Proyectos de CTI</t>
  </si>
  <si>
    <t xml:space="preserve">Mesa de innovación, transferencia tecnológica e investigación
</t>
  </si>
  <si>
    <t xml:space="preserve"> Plan Local de Empleo</t>
  </si>
  <si>
    <t>Fortalecimiento en la gestión del recaudo</t>
  </si>
  <si>
    <t>Fortalecimiento en la gestión fiscal</t>
  </si>
  <si>
    <t>Campaña publicitaria de Cultura Tributaria</t>
  </si>
  <si>
    <t>Fortalecimiento en la gestión de cartera</t>
  </si>
  <si>
    <t>Adecuación del espacio para la atención al contribuyente</t>
  </si>
  <si>
    <t xml:space="preserve">Plan de capacitación </t>
  </si>
  <si>
    <t>Sistema de seguimiento y evaluación de competencias</t>
  </si>
  <si>
    <t>Bienestar social</t>
  </si>
  <si>
    <t>Programa de seguridad industrial y salud ocupacional</t>
  </si>
  <si>
    <t>Gestión documental</t>
  </si>
  <si>
    <t>Actualización de avalúo de bienes inmuebles</t>
  </si>
  <si>
    <t xml:space="preserve">Fomento de la Cultura del autocontrol, autogestón y autoregulación </t>
  </si>
  <si>
    <t>Certificación del SGC NTC-GP 1000</t>
  </si>
  <si>
    <t>Constitución del fondo y pago de cuotas partes pensionales</t>
  </si>
  <si>
    <t>Plan de mantenimiento preventivo de equipos de oficina</t>
  </si>
  <si>
    <t>Cámaras de seguridad</t>
  </si>
  <si>
    <t>Mantenimiento correctivo y preventivo de infraestructura</t>
  </si>
  <si>
    <t>Convenio para inicio de servicio de cementerio</t>
  </si>
  <si>
    <t>Participación ciudadana y rendición de cuentas</t>
  </si>
  <si>
    <t>Estudios de mapas de amenaza, vulnerabilidad y riesgo (Sismo, inundación, movimientos en masa e incendios forestales).</t>
  </si>
  <si>
    <t>Sistema de información para la gestión del riesgo</t>
  </si>
  <si>
    <t>Fondo Territorial de Gestión del Riesgo</t>
  </si>
  <si>
    <t>Capacitación en gestión del riesgo y educación en emergencias</t>
  </si>
  <si>
    <t>Actualización de estratos</t>
  </si>
  <si>
    <t>Expediente municipal y SIG.</t>
  </si>
  <si>
    <t xml:space="preserve">Estudio de vulnerabilidad sísmica al edificio central y otro a la planta de potabilización </t>
  </si>
  <si>
    <t>Participación ciudadana para niños, niñas, adolescentes y jóvenes</t>
  </si>
  <si>
    <t>Ejecución del Plan Municipal de Gestión del Riesgo PMGR</t>
  </si>
  <si>
    <t>0.5</t>
  </si>
  <si>
    <t>Fortalecimiento del MECI</t>
  </si>
  <si>
    <t>Mesa de proyecto educativo de ciudad</t>
  </si>
  <si>
    <t>Fortalecimiento de los procesos de participación ciudadana</t>
  </si>
  <si>
    <t>Gestión para el desarrollo subregional</t>
  </si>
  <si>
    <t>Incentivos a docentes y directivoa</t>
  </si>
  <si>
    <t>Capacitación en lengua extranjera a estudiantes</t>
  </si>
  <si>
    <t>Programa de Lideres Siglo XXI en Instituciones Educativas</t>
  </si>
  <si>
    <t>Programa de Lideres Siglo XXI en Establecimientos Educativos</t>
  </si>
  <si>
    <t xml:space="preserve">Biblioteca móvil </t>
  </si>
  <si>
    <t>Formulación y concertacion de proyectos en el marco del proceso de Presupuesto Participativo</t>
  </si>
  <si>
    <t>Estudios de preinversión de proyectos de integración y desarrollo subregional</t>
  </si>
  <si>
    <t>Estudios y diseños de tres proyectos detonantes del proceso de renovación urbana</t>
  </si>
  <si>
    <t>Estudios y diseños del proceso de reubicación de vendedores ambulantes y estacionarios</t>
  </si>
  <si>
    <t xml:space="preserve">Plan piloto de acceso a TIC en Instituciones Educativas </t>
  </si>
  <si>
    <t xml:space="preserve">Programa de bienestar social a docentes y directivos docentes </t>
  </si>
  <si>
    <t>Pago de servicios públicos</t>
  </si>
  <si>
    <t>25% de disminución de los estudiantes de las Instituciones Educativas zona rural, en desempeño insuficiente, frente a los resultados de pruebas SABER 2009.</t>
  </si>
  <si>
    <t>Mejoramiento de resultados Pruebas SABER 2009 en la zona urbana</t>
  </si>
  <si>
    <t>Mejoramiento de resultados Pruebas SABER 2009 en la zona rural</t>
  </si>
  <si>
    <t>Compra de Predio</t>
  </si>
  <si>
    <t>Hectáreas declaradas como reservas públicas</t>
  </si>
  <si>
    <t>Planes de manejo ambiental de Humedales</t>
  </si>
  <si>
    <t>Promoción de la Política nacional de producción más limpia</t>
  </si>
  <si>
    <t xml:space="preserve">Reforestación de héctareas </t>
  </si>
  <si>
    <t>Conectividad del Sistema Naciona de Áreas Protegidas SINAP</t>
  </si>
  <si>
    <t>Apoyo de los POMCH de los ríos Amaime y Bolo</t>
  </si>
  <si>
    <t>Actualización del PGIRS</t>
  </si>
  <si>
    <t>Mantenimiento sistema arbóreo</t>
  </si>
  <si>
    <t>Programa de cultura y educación ambiental</t>
  </si>
  <si>
    <t>Formalización de la actividad minera</t>
  </si>
  <si>
    <t>Construcción y reposición de redes de alcantarillado rural</t>
  </si>
  <si>
    <t>Instalación de pozos sépticos</t>
  </si>
  <si>
    <t>Mantenimiento de sistemas sépticos</t>
  </si>
  <si>
    <t>Plan de saneamiento y manejo de vertimientos</t>
  </si>
  <si>
    <t>Gestión para la construcción de alcantarillados rurales</t>
  </si>
  <si>
    <t>Asistencia técnica y administrativa de acueductos rurales</t>
  </si>
  <si>
    <t>Revisión, reparación, adecuación y suministro de acueductos rurales</t>
  </si>
  <si>
    <t>Apoyo a Acueductos rurales para la certificación por la Superintendencia de Servicios Públicos Domiciliarios SSPD</t>
  </si>
  <si>
    <t>Compra de Predio para construcción de PTAR</t>
  </si>
  <si>
    <t>Formulación de proyecto para la construcción de la Planta de Tratamiento de Aguas Residuales</t>
  </si>
  <si>
    <t>Proceso de seguimiento y evaluación anual a la gestión y resultados de las empresas prestadoras de servicios públicos domiciliarios</t>
  </si>
  <si>
    <t>Proyecto de recuperación y adecuación de espacio público en las zonas centro y galerías</t>
  </si>
  <si>
    <t>Revision y ajuste del POT</t>
  </si>
  <si>
    <t>Plan Hortofrutícola Regional</t>
  </si>
  <si>
    <t>Semana de la Seguridad y la convicencia ciudadana</t>
  </si>
  <si>
    <t>Estudios de Reasentamiento de población que habita en zonas de riesgo</t>
  </si>
  <si>
    <t>Formularción de la Estratégia Municipal de Respuesta a la Emergencia EMRE</t>
  </si>
  <si>
    <t>Apoyo a la Unidad de Gestión de Riesto</t>
  </si>
  <si>
    <t>Atención con plan de intervenciones colectivas</t>
  </si>
  <si>
    <t xml:space="preserve">Fortalecimiento y posicionamiento de los íconos representativos del Municipio de Palmira
</t>
  </si>
  <si>
    <t>Ordenar el territorio de acuerdo con las dinámicas urbanas y rurales.</t>
  </si>
  <si>
    <t>Alcanzar el 20% la evaluación del cumplimiento del POT.</t>
  </si>
  <si>
    <t>Porcentaje de evaluación del cumplimiento del POT alcanzado.</t>
  </si>
  <si>
    <t>Formular y ejecutar 20 proyectos orientados al desarrollo territorial del municipio.</t>
  </si>
  <si>
    <t>Número de proyectos orientados al desarrollo territorial del municipio formulados y ejecutados.</t>
  </si>
  <si>
    <t xml:space="preserve">Porcentaje de incremento en la cobertura neta en educación preescolar, básica primaria, básica secundaria y media.
</t>
  </si>
  <si>
    <t>Formular la política pública para grupos étnicos</t>
  </si>
  <si>
    <t>Formular la política pública para la población LGTBI</t>
  </si>
  <si>
    <t>Formular la política pública del adulto mayor</t>
  </si>
  <si>
    <t>Formular la política pública para la población en situación de discapacidad</t>
  </si>
  <si>
    <t>Ejecutar un Programa de protección integral a la familia</t>
  </si>
  <si>
    <t>Puesta en funcionamiento de la Comisaria de Familia</t>
  </si>
  <si>
    <t>Campaña de vinculación temprana al programa de control prenatal antes de la semana No. 12 de gestión</t>
  </si>
  <si>
    <t xml:space="preserve">10 SAC Virtuales y un Call Center en funcionamiento </t>
  </si>
  <si>
    <t>Fortalecimiento de los procesos de participación ciudadana en Salud en el marco de la Política Pública de Participación Social en Salud</t>
  </si>
  <si>
    <t>Diagnóstico</t>
  </si>
  <si>
    <t xml:space="preserve">Alcanzar el 100% en aseguramiento de la población pobre no asegurada. </t>
  </si>
  <si>
    <t>Garantizar la protección y el restablecimiento de derechos al 100% de  la población de primera infancia.</t>
  </si>
  <si>
    <t>Garantizar la protección y el restablecimiento de derechos al 100% de la población de primera infancia, infancia y adolescencia.</t>
  </si>
  <si>
    <t>Ejecutar la política nacional de gestión del riesgo, con el fin de contribuir a la seguridad, el bienestar, la calidad de vida de los palmiran@s y al desarrollo sustentable del municipio.</t>
  </si>
  <si>
    <t xml:space="preserve">Incrementar el número de personas atendidas con los servicios de acueducto y alcantarillado. </t>
  </si>
  <si>
    <t xml:space="preserve">Mejorar el acceso a los alimentos de las familias en condiciones de vulnerabilidad, especialmente aquellas que se encuentran en situación de pobreza, mediante la producción de alimentos para el auto consumo y así contribuir con la disminución del hambre y el mejoramiento de la seguridad alimentaria. </t>
  </si>
  <si>
    <t>Mejorar la cobertura digital, la apropiación tecnológica y el acceso a Tecnología, Informática y Comunicaciones, -TIC-.</t>
  </si>
  <si>
    <t>Proteger a los habitantes en general y a las víctimas del conflicto armado interno en particular, en su vida, integridad, dignidad, libertad, patrimonio económico, los derechos de las víctimas a la verdad, la justicia, la reparación y las garantías de no repetición, por medio de la reducción y sanción del delito, el temor a la violencia, el respeto a la ley, la promoción de la convivencia y la atención, asistencia y reparación integral a las víctimas.</t>
  </si>
  <si>
    <t xml:space="preserve">Mejorar la cobertura y la calidad de la infraestructura vial.
</t>
  </si>
  <si>
    <t>Realizar procesos de promoción de la afiliación al Sistema General de Seguridad Social en Salud – SGSSS-,  actualizando, identificando, priorizando, depurando,  y sistematizando  las bases de datos del régimen subsidiado, contributivo, y otras bases necesarias, como medida de transparencia y eficacia con los recursos, realizando adecuación tecnológica y recurso para procesos de afiliación, gestión financiera de recursos y actividades de Inspección Vigilancia Control, -IVC- y auditoria del régimen subsidiado.</t>
  </si>
  <si>
    <t>Llegar a cada familia Palmirana a través de los equipos básicos de atención primaria en salud, como facilitadores de la prestación de servicios básicos de salud, educación, prevención, tratamiento y rehabilitación, con un estricto seguimiento mediante actividades de Inspección, Vigilancia y Control IVC.</t>
  </si>
  <si>
    <t>Gestionar a través de la Dirección Nacional de Patrimonio, el reconocimiento, identificación, valoración, inventario, registro y fortalecimiento de los diversos bienes materiales e inmateriales de interés cultural del Municipio de Palmira.</t>
  </si>
  <si>
    <t>Establecer medidas que contribuyan a la transformación de modelos patriarcales que legitiman todas las formas de violencia de género en la familia, espacio de trabajo, comunitario, político y en el conflicto armado.</t>
  </si>
  <si>
    <t>Fortalecer los instrumentos y mecanismos se seguimiento, monitoreo, evaluación y control de la política pública de protección integral de la primera infancia.</t>
  </si>
  <si>
    <t>Fortalecer los instrumentos y mecanismos de seguimiento, monitoreo, evaluación y control de la política pública de protección y restablecimiento de derechos de la primera infancia, infancia y adolescencia.</t>
  </si>
  <si>
    <t>Diagnosticar y caracterizar la movilización social y sensibilización, para recepcionar información acorde con la realidad.</t>
  </si>
  <si>
    <t>Ajustar de manera participativa el Plan Integral Único PIU y gestionar ante instituciones públicas y privadas recursos para su cumplimiento.</t>
  </si>
  <si>
    <t>Implementar acciones para la conservación de áreas de importancia estratégica promoviendo la protección de la diversidad biológica y fortaleciendo la gobernabilidad con los actores del territorio a través de alianzas público-privadas.</t>
  </si>
  <si>
    <t>Conocer el riesgo, vincular a la comunidad en el proceso de gestión del mismo, fortalecer las relaciones público-privadas y gestionar recursos nacionales e internacionales.</t>
  </si>
  <si>
    <t>Adecuar la infraestructura para vincular nuevos suscriptores al sistema de acueducto y alcantarillado.</t>
  </si>
  <si>
    <t>Desarrollar un proyecto municipal de vivienda gestionando subsidios y recursos del gobierno departamental y nacional.</t>
  </si>
  <si>
    <t xml:space="preserve"> Desarrollar la innovación, la transferencia de tecnología mediante la adaptación de las técnicas resultantes de la investigación, la facilidad al acceso del financiamiento bancario, el fomento de las cadenas de valor y el acceso a los mercados.</t>
  </si>
  <si>
    <t>Establecer alianzas que permita la producción, el comercio de alimentos y el acceso a éstos, mediante la movilización de recursos.</t>
  </si>
  <si>
    <t>Establecer alianzas públicas y privadas para el mejormiento del desarrollo económico y el turismo.</t>
  </si>
  <si>
    <t>Aprovechar los espacios públicos y las Instituciones Educativas para apropiar el conocimiento de TIC a la población de escasos recursos económico.</t>
  </si>
  <si>
    <t>Fortalecer los procesos de ejecución fiscal generando cultura tributaria.</t>
  </si>
  <si>
    <t>Avanzar hacia el desarrollo del Sistema Integrado de Gestión - SIG.</t>
  </si>
  <si>
    <t>Hacer intervención integral en seguridad y convivencia ciudadana de la mano con el gobierno nacional ejecutando las líneas de acción de la Política Nacional de Seguridad y Convivencia Ciudadana.</t>
  </si>
  <si>
    <t>Involucrar a la comunidad en el gobierno municipal difundiendo en todo momento las acciones municipales.</t>
  </si>
  <si>
    <t>Rehabilitar, construir, mejorar y conservar la malla vial municipal.</t>
  </si>
  <si>
    <t>Diseñar y concertar el Plan Estratégico de Movilidad Territorial para resolver problemas de movilidad y para gestionar recursos.</t>
  </si>
  <si>
    <t>Generar cultura y respeto a las normas de seguridad vial en todos los actores de la vía.</t>
  </si>
  <si>
    <t>Lograr la asociatividad mediante mecanismo de Contrato Plan para gestionar recursos para el desarrollo territorial subregional.</t>
  </si>
  <si>
    <t>Articular el Plan de Desarrollo Municipal con el Plan de Ordenamiento Territorial POT.</t>
  </si>
  <si>
    <t>Adelantar un proceso de Renovación Urbana en alianza público – privada.</t>
  </si>
  <si>
    <t>Cobertura de energía eléctrica.</t>
  </si>
  <si>
    <t>Justicia, Seguridad y Convivencia Ciudadana.</t>
  </si>
  <si>
    <t>Permanencia en el sistema educativo.</t>
  </si>
  <si>
    <t>Plan Integrado Único - PIU.</t>
  </si>
  <si>
    <t xml:space="preserve">Sistema de Gestión Ambiental Municipal  -SIGAM-. </t>
  </si>
  <si>
    <t xml:space="preserve">Planta de Tratamiento de Aguas Residuales - PTAR. </t>
  </si>
  <si>
    <t>Ciencia Tecnología e Innovación, CTI.</t>
  </si>
  <si>
    <t>Garantizar la prevención al reclutamiento por parte de los grupos armados organizados al margen de la ley  y de otros grupos delictivos organizados al 100% niños, niñas, adolescentes y jóvenes.</t>
  </si>
  <si>
    <t>Formular e implementar un Plan Integral de Gestión Ambiental Municipal.</t>
  </si>
  <si>
    <t>Disminuir en 80% la carga contaminante (Demanda Bioquímica de Oxigeno, DBO, Sólidos Suspendidos Totales, SST) de las aguas residuales domésticas.</t>
  </si>
  <si>
    <t>Número de campañas de comunicación de prevención de VIH/SIDA en población heterosexual, LGTBI y trabajadoras sexuales realizadas.</t>
  </si>
  <si>
    <t>Una ruta de prevención al reclutamiento realizada.</t>
  </si>
  <si>
    <t>Un proyecto para la construcción de la Planta de Tratamiento de Aguas Residuales formulado y gestionado.</t>
  </si>
  <si>
    <t>Número de espacios recreativos y deportivos construidos y adecuados.</t>
  </si>
  <si>
    <t>Un mantenimiento anual a la infraestructura de la Ciudadela Deportiva.</t>
  </si>
  <si>
    <t>Un Plan de Acción para la Prevención, Asistencia, Atención, Protección y Reparación Integral a las Víctimas de que habla el Artículo 3º de la Ley 1448 de 2011; formulado y ejecutado.</t>
  </si>
  <si>
    <t>Un espacio de participación ciudadana para niños, niñas, adolescentes y jóvenes "Una infancia que participa, reflexiona, toma decisiones y se compromete" promovido.</t>
  </si>
  <si>
    <t>Número de rutas de transporte público rurales eficientes creadas e implementadas.</t>
  </si>
  <si>
    <t>Identificacion y formulación de proyectos del POT</t>
  </si>
  <si>
    <t>Tipo Meta</t>
  </si>
  <si>
    <t>I</t>
  </si>
  <si>
    <t>M</t>
  </si>
  <si>
    <t>R</t>
  </si>
  <si>
    <t>Planes de manejo ambiental público</t>
  </si>
  <si>
    <t>Planes de manejo ambiental reservas de la sociedad civil</t>
  </si>
  <si>
    <t xml:space="preserve">Pago de subsidios de acueducto y alcantarillado </t>
  </si>
  <si>
    <t>Gestión de subsidios de vivienda incluido grupos vulnerables</t>
  </si>
  <si>
    <t>Gestión de subsidios de mejoramiento de vivienda incluyendo grupos vulnerables</t>
  </si>
  <si>
    <t>Contrato del Ministerio de las TIC con el Operador de Internet</t>
  </si>
  <si>
    <t>Servicios y tramites en Linea</t>
  </si>
  <si>
    <t>Suministro de Hardware y Software y su mantenimiento</t>
  </si>
  <si>
    <t>FINANPAL</t>
  </si>
  <si>
    <t>REC.PROPIOS</t>
  </si>
  <si>
    <t>PLAN CUATRIENAL DE INVERSION 2012-2015</t>
  </si>
  <si>
    <t>TOTAL  
2012-2015</t>
  </si>
  <si>
    <t>Protección en salud.</t>
  </si>
  <si>
    <t>Salud materna.</t>
  </si>
  <si>
    <t>Salud en la primera infancia "Niños y niñas con estilo de vida saludable".</t>
  </si>
  <si>
    <t>Prevención en VIH/SIDA.</t>
  </si>
  <si>
    <t>Aumentar en 6% el número de madres gestantes vinculadas al programa de control prenatal antes de la semana No. 12 de gestación.</t>
  </si>
  <si>
    <t>Cumplir el 95% de cobertura en niños y niñas de 0 a 5 años con el esquema completo de vacunación.</t>
  </si>
  <si>
    <t>Realizar 2 campañas anuales de prevención en mortalidad por infección respiratoria aguda (IRA) en menores de 5 años.</t>
  </si>
  <si>
    <t>Reducir en 2,7% la tasa de mortalidad infantil en menores de 5 años.</t>
  </si>
  <si>
    <t>Realizar 2 campañas anuales de prevención en  mortalidad por enfermedad diarreica aguda (EDA) en menores de 5 años.</t>
  </si>
  <si>
    <t>Implementar la estrategia de lactancia materna en las 24 Instituciones Prestadoras de Salud IPS.</t>
  </si>
  <si>
    <t xml:space="preserve">Realizar 4 jornadas de pruebas voluntarias de VIH para población en riesgo.
</t>
  </si>
  <si>
    <t>Promover 4 campañas de comunicación de prevención de VIH/SIDA en población heterosexual, LGTBI y trabajadoras sexuales.</t>
  </si>
  <si>
    <t>Cubrir en 95% la población objetivo con el programa protección en salud.</t>
  </si>
  <si>
    <t>Fomento y monitoreo del aseguramiento.</t>
  </si>
  <si>
    <t>Afiliar al SGSSS 16.177 personas de la población pobre no asegurada.</t>
  </si>
  <si>
    <t>Realizar inspección, vigilancia y control al 100% de las aseguradoras del SGSSS.</t>
  </si>
  <si>
    <t>Ejecutar 4 proyectos de infraestructura y dotación en la red pública de salud.</t>
  </si>
  <si>
    <t>Implementar y evaluar el modelo de Atención Primaria en Salud "Palmira avanza más cerca de ti" para la prestación de servicios de salud.</t>
  </si>
  <si>
    <t>Dotar y mejorar la conectividad de 3 bibliotecas municipales, con plataforma de información, software y hardware.</t>
  </si>
  <si>
    <t>Poner en funcionamiento 5 bibliotecas municipales y dotar 3 bibliotecas con material de lectura.</t>
  </si>
  <si>
    <t>Bienes de interés cultural.</t>
  </si>
  <si>
    <t>Fortalecimiento del patrimonio cultural.</t>
  </si>
  <si>
    <t>Realizar 11 eventos que fortalezcan el patrimonio cultural material e inmaterial.</t>
  </si>
  <si>
    <t>Resocialización de adolescentes infractores.</t>
  </si>
  <si>
    <t>Sistema de responsabilidad penal para adolescentes.</t>
  </si>
  <si>
    <t>Ejecutar anualmente el programa de resocialización de adolescentes con carácter pedagógico que apoye el desarrollo de medidas no privativas de la libertad (Reglas de conducta, servicios sociales a la comunidad, libertad vigilada y medio semi-cerrado).</t>
  </si>
  <si>
    <t>Garantizar el funcionamiento del Sistema de Responsabilidad Penal para Adolescentes.</t>
  </si>
  <si>
    <t>Diseñar e implementar una ruta de prevención para proteger los espacios vitales (familia, escuela, lugares de lúdica o aprendizaje, caminos en los que transitan comunidades de las que son integrantes).</t>
  </si>
  <si>
    <t>Capacitar al Consejo Municipal de Política Social en prevención del reclutamiento forzado.</t>
  </si>
  <si>
    <t>Politica social incluyente</t>
  </si>
  <si>
    <t>Garantizar y restablecer el 100% de los derechos inobservados, amenazados o vulnerados a los niños y niñas cuyos casos han sido denunciados o detectados.</t>
  </si>
  <si>
    <t>Garantizar la puesta en funcionamiento de 3 nuevos Centros de Desarrollo Infantil.</t>
  </si>
  <si>
    <t>Garantizar la puesta en funcionamiento del hogar de paso para la primera infancia.</t>
  </si>
  <si>
    <t>Prevención y erradicación de las peores formas de trabajo infantil y explotación sexual comercial.</t>
  </si>
  <si>
    <t>Infancia y adolescencia.</t>
  </si>
  <si>
    <t>Implementar un programa de prevención y erradicación de las peores formas de trabajo infantil y de explotación sexual comercial.</t>
  </si>
  <si>
    <t>Ejecutar anualmente un programa de seguimiento y evaluación a la implementación de la política pública de infancia y adolescencia.</t>
  </si>
  <si>
    <t>Políticas públicas sociales.</t>
  </si>
  <si>
    <t>Atención al migrante.</t>
  </si>
  <si>
    <t>Atención a familias en extrema pobreza.</t>
  </si>
  <si>
    <t>Plan Especial de Inclusión Social PEIS .</t>
  </si>
  <si>
    <t>Implementar 3 lineamientos de la política pública de juventud.</t>
  </si>
  <si>
    <t>Formular e implementar la política pública para grupos étnicos.</t>
  </si>
  <si>
    <t>Formular e implementar la política pública de la población LGTBI.</t>
  </si>
  <si>
    <t>Formular e implementar la política pública del adulto mayor.</t>
  </si>
  <si>
    <t>Formular e implementar la política pública para la población en situación de discapacidad.</t>
  </si>
  <si>
    <t>Formular e implementar la política pública de familia.</t>
  </si>
  <si>
    <t>Implementar el programa de atención al migrante y su familia.</t>
  </si>
  <si>
    <t>Implementar la política de paz y convivencia familiar "Haz Paz" .</t>
  </si>
  <si>
    <t>Implementar el Plan Especial de Inclusión Social PEIS.</t>
  </si>
  <si>
    <t>Áreas de protección y conservación.</t>
  </si>
  <si>
    <t>Adaptación al cambio climático.</t>
  </si>
  <si>
    <t>Implementar una acción de los planes de manejo de las 25 reservas naturales de la sociedad civil registradas.</t>
  </si>
  <si>
    <t>Ejecutar una estrategia integral de adaptación al cambio climático.</t>
  </si>
  <si>
    <t>Actualizar y fortalecer el Sistema de Gestión Ambiental Municipal SIGAM.</t>
  </si>
  <si>
    <t>Incrementar en 10% la cobertura del servicio domiciliario de alcantarillado y al 95% la cobertura del servicio de acueducto.</t>
  </si>
  <si>
    <t>Acueducto y Alcantarillado rural.</t>
  </si>
  <si>
    <t>Ejecutar un programa de construcción, reposición y mantenimiento para los sistemas de acueducto y alcantarillado rural.</t>
  </si>
  <si>
    <t>Subsidiar el 100% de los suscriptores de acueducto y alcantarillado de los estratos 1 y 2.</t>
  </si>
  <si>
    <t>Formular y gestionar el proyecto para la construcción de la Planta de Tratamiento de Aguas Residuales PTAR.</t>
  </si>
  <si>
    <t>Subsidios de vivienda urbano y rural.</t>
  </si>
  <si>
    <t>Titulación de predios.</t>
  </si>
  <si>
    <t>Mejoramiento de barrios.</t>
  </si>
  <si>
    <t xml:space="preserve">Gestionar 2.000 subsidios de vivienda (Fonvivienda, Fondo nacional del ahorro, CCF, Alcaldía).
</t>
  </si>
  <si>
    <t>Otorgar 150 subsidios para mejoramiento de vivienda a la población vulnerable.</t>
  </si>
  <si>
    <t>Titular 300 predios.</t>
  </si>
  <si>
    <t>Gestionar un proyecto de mejoramiento de barrios.</t>
  </si>
  <si>
    <t>Asistencia técnica,</t>
  </si>
  <si>
    <t>Encadenamientos productivos.</t>
  </si>
  <si>
    <t>Financiación de proyectos  productivos.</t>
  </si>
  <si>
    <t>Desarrollo y fomento agropecuario.</t>
  </si>
  <si>
    <t>Prestar asistencia técnica integral a 700 pequeños y medianos productores.</t>
  </si>
  <si>
    <t>Prestar asistencia técnica a 460 usuarios para el fomento de la competitividad.</t>
  </si>
  <si>
    <t>Fortalecer 10 asociaciones de pequeños y medianos productores en encadenamientos productivos.</t>
  </si>
  <si>
    <t>Promover la cofinanciación de proyectos productivos para 360 usuarios.</t>
  </si>
  <si>
    <t>Formular y ejecutar un plan sostenible para el desarrollo y fomento del sector agropecuario.</t>
  </si>
  <si>
    <t xml:space="preserve">Fomento para la modernización e innovación empresarial.
</t>
  </si>
  <si>
    <t>Plan Local de Empleo.</t>
  </si>
  <si>
    <t>|</t>
  </si>
  <si>
    <t>Formular e implementar un plan de fortalecimiento de 560 Mipymes.</t>
  </si>
  <si>
    <t>Formular un plan para el fomento del desarrollo industrial.</t>
  </si>
  <si>
    <t xml:space="preserve">Ejecutar un programa integral de desarrollo empresarial en el marco de la Agenda de Competitividad de Palmira.
</t>
  </si>
  <si>
    <t xml:space="preserve">Financiar 10 proyectos anuales de emprendimiento.
</t>
  </si>
  <si>
    <t>Formular y articular la implementación del Plan Local de Empleo.</t>
  </si>
  <si>
    <t>Acceso a TIC.</t>
  </si>
  <si>
    <t>Gobierno en Línea.</t>
  </si>
  <si>
    <t>Dotar de infraestructura para el acceso a la Internet a 4.000 hogares de los estratos 1 y 2.</t>
  </si>
  <si>
    <t>Implementar un plan piloto de acceso a TIC en las 27 Instituciones Educativas.</t>
  </si>
  <si>
    <t>Ofrecer conectividad inalámbrica en 5 espacios públicos.</t>
  </si>
  <si>
    <t>Capacitar a 500 personas de la comunidad en el uso de TIC.</t>
  </si>
  <si>
    <t>Incrementar en 40% el recaudo del impuesto predial unificado y en 30% el recaudo del impuesto de industria y comercio ICA.</t>
  </si>
  <si>
    <t>Disminuir la cartera del municipio en 30%.</t>
  </si>
  <si>
    <t>Mejora de procesos y procedimientos.</t>
  </si>
  <si>
    <t>Dotación, mantenimiento y suministro.</t>
  </si>
  <si>
    <t>Comunicación para el avance social.</t>
  </si>
  <si>
    <t>Ejecutar un plan para desarrollo del talento humano.</t>
  </si>
  <si>
    <t>Realizar un proceso de reforma administrativa, modernización y descentralización de servicios.</t>
  </si>
  <si>
    <t>Implementar 5 sistemas de información para el fortalecimiento de procesos administrativos.</t>
  </si>
  <si>
    <t>Poner en funcionamiento 10 SAC virtuales y un centro de contacto en salud (Call center).</t>
  </si>
  <si>
    <t>Fortalecer y apropiar los 29 elementos del MECI.</t>
  </si>
  <si>
    <t>Ejecutar un proceso de seguimiento y evaluación anual a la gestión y resultados de las empresas prestadoras de servicios públicos domiciliarios donde el municipio sea accionista.</t>
  </si>
  <si>
    <t>Certificar un macroproceso misional con base en la NTC-GP 1000 y certificar 6 procesos de la Secretaría de Educación en el sistema de gestión de calidad ISO 9000.</t>
  </si>
  <si>
    <t>Constituir un Fondo de Patrimonio Autónomo.</t>
  </si>
  <si>
    <t>Ejecutar un programa de modernización administrativa en la Secretaría de Educación y otro en la Secretaría de Movilidad.</t>
  </si>
  <si>
    <t>Realizar una dotación anual de software y hardware necesarios para el funcionamiento de la administración municipal con su respectivo mantenimiento.</t>
  </si>
  <si>
    <t>Dotar de implementos necesarios para la enseñanza a 60 Sedes Educativas.</t>
  </si>
  <si>
    <t>Garantizar el funcionamiento del 100% de los equipos de oficina de la administración.</t>
  </si>
  <si>
    <t>Adquirir 16 cámaras de seguridad para los edificios de la administración municipal.</t>
  </si>
  <si>
    <t>Apoyar mediante el pago de los servicios públicos domiciliarios a 142 entidades y a 117 Sedes Educativas.</t>
  </si>
  <si>
    <t>Ejecutar un programa de comunicaciones para difundir la gestión municipal orientada a promover la confianza en lo público.</t>
  </si>
  <si>
    <t>Mejoramiento integral de procesos y procedimientos.</t>
  </si>
  <si>
    <t>Plan de medios.</t>
  </si>
  <si>
    <t>Ejecutar un programa de mantenimiento a los bienes inmuebles de propiedad del municipio.</t>
  </si>
  <si>
    <t>Poner en servicio el cementerio civil municipal.</t>
  </si>
  <si>
    <t>Construir y adecuar 7 espacios recreativos y deportivos.</t>
  </si>
  <si>
    <t>Formular e implementar el Plan Integral de Seguridad y Convivencia Ciudadana articulada con la Política Nacional de Seguridad y Convivencia Ciudadana.</t>
  </si>
  <si>
    <t>Ejecutar un programa de prevención social y situacional.</t>
  </si>
  <si>
    <t>Ejecutar un programa de presencia y control policial.</t>
  </si>
  <si>
    <t>Ejecutar un programa de cultura ciudadana.</t>
  </si>
  <si>
    <t>Ejecutar un programa de justicia, víctimas y resocialización.</t>
  </si>
  <si>
    <t>Promover 20 espacios de participación ciudadana con reconocimiento constitucional.</t>
  </si>
  <si>
    <t>Implementar un programa de presupuesto participativo.</t>
  </si>
  <si>
    <t>Realizar mantenimiento al 65% de la infraestructura vial.</t>
  </si>
  <si>
    <t>Incrementar en 3% el porcentaje de cobertura de la infraestructura vial urbana y al 14% el porcentaje de cobertura de la infraestructura vial rural.</t>
  </si>
  <si>
    <t>Mantenimiento vial.</t>
  </si>
  <si>
    <t>Malla vial.</t>
  </si>
  <si>
    <t>Ejecutar un programa de mantenimiento a la infraestructura vial.</t>
  </si>
  <si>
    <t>Formular y ejecutar un programa de obras de infraestructura vial.</t>
  </si>
  <si>
    <t>Obras de infraestructura vial.</t>
  </si>
  <si>
    <t>Plan Estratégico de Movilidad.</t>
  </si>
  <si>
    <t>Sistema Estratégico de Transporte Público.</t>
  </si>
  <si>
    <t>Formular e implementar el Plan Estratégico de Movilidad.</t>
  </si>
  <si>
    <t>Realizar un estudio técnico detallado de vías de acceso y uno de redes de servicios públicos que garanticen la construcción y operación del Terminal de Transporte intermunicipal.</t>
  </si>
  <si>
    <t>Incrementar en 10% los kilómetros de rutas de acceso a centros de oferta de bienes y servicios públicos.</t>
  </si>
  <si>
    <t>Crear e implementar 10 rutas de transporte público eficientes (criterios: frecuencia, cobertura, longitud de recorridos y capacidad).</t>
  </si>
  <si>
    <t>Elaborar e implementar el Plan Local de Seguridad Vial.</t>
  </si>
  <si>
    <t>Diseñar e implementar un sistema inteligente de control de tránsito y semaforización.</t>
  </si>
  <si>
    <t>Implementar un programa de promoción de actividades alternativas y sustitutivas para los conductores de los vehículos de tracción animal.</t>
  </si>
  <si>
    <t>Gestion POT</t>
  </si>
  <si>
    <t xml:space="preserve">Incrementar a 1.500 niños y niñas de primera infancia que ingresan al sistema educativo.
</t>
  </si>
  <si>
    <t xml:space="preserve">Incrementar a 3.450 niños y niñas que ingresan a formación integral en transición o grado cero.
</t>
  </si>
  <si>
    <t xml:space="preserve">100% de niños y niñas que ingresan al sistema educativo para formación integral para básica primaria atendidos.
</t>
  </si>
  <si>
    <t>Incrementar a 16.260 niños y niñas que ingresan al sistema educativo formación integral para básica secundaria.</t>
  </si>
  <si>
    <t>Incrementar a 5.770 jóvenes que ingresan al sistema educativo formación integral para media.</t>
  </si>
  <si>
    <t>Incrementar a 1680 el número de niños, niñas adolescentes y jóvenes en situación de vulnerabilidad (Población étnica, población afectada por la violencia, población rural dispersa) que ingresan al sistema educativo.</t>
  </si>
  <si>
    <t>117 docentes de apoyo para atender a los niños, niñas, adolescentes y jóvenes con necesidades educativas especiales.</t>
  </si>
  <si>
    <t>Número de subsidios de matrícula gestionados para estudiantes con mejor resultados de Pruebas Saber de los estratos 1, 2 y 3.</t>
  </si>
  <si>
    <t>Un proyecto presentado y gestionado para apoyar la construcción de la fase II de la I etapa de la Universidad del Valle.</t>
  </si>
  <si>
    <t>Número de instituciones de educación media con programas técnicos y tecnológicos transferidos.</t>
  </si>
  <si>
    <t>Número de convenios suscritos con el SENA, instituciones de educación superior e instituciones de educación para ofrecer formación tecnológica en las Instituciones Educativas.</t>
  </si>
  <si>
    <t>Porcentaje de niños, niñas, adolescentes y jóvenes del sector rural con transporte escolar donde no exista el servicio educativo en el sector donde habita.</t>
  </si>
  <si>
    <t>Porcentaje de niños y jóvenes estudiantes de básica primaria y secundaria beneficiados con alimentación escolar en el sector rural.</t>
  </si>
  <si>
    <t>Porcentaje de niños y niñas estudiantes de básica primaria beneficiados con alimentación escolar en el sector urbano.</t>
  </si>
  <si>
    <t>Porcentaje de recursos de gratuidad que se giran a cada una de las Instituciones Educativas oficiales adicionados.</t>
  </si>
  <si>
    <t>Porcentaje de complemento de recursos de gratuidad adicionados por seguro estudiantil, transporte escolar, alimentación escolar y mochilas escolares.</t>
  </si>
  <si>
    <t>Número de estudiantes de grados 3, 5, 9, 10 y 11 de las 27 Instituciones Educativas beneficiados con el programa de refuerzo de competencias.</t>
  </si>
  <si>
    <t>Número de Instituciones Educativas con el programa de transformación educativa "Todos a aprender", acompañadas con docentes tutores, Colección Semilla de matemática y Colección Semilla de lenguaje.</t>
  </si>
  <si>
    <t>Porcentaje de estudiantes de las 27 Instituciones Educativas que elevan su nivel de competencias en lengua extranjera en las Pruebas Saber a B1.</t>
  </si>
  <si>
    <t>Fortalecer las competencias del 100% de los docentes de lengua extranjera.</t>
  </si>
  <si>
    <t>Formular e implementar el Plan Municipal de Mediación Escolar para el Desarrollo Humano en las 27 Instituciones Educativas.</t>
  </si>
  <si>
    <t>Diseñar e implementar en las 117 Sedes Educativas el programa de competencias ciudadanas.</t>
  </si>
  <si>
    <t>Asignar un orientador escolar a cada una de las 27 Instituciones Educativas.</t>
  </si>
  <si>
    <t>Implementar el Plan Territorial de Capacitación y Formación para docentes y directivos docentes.</t>
  </si>
  <si>
    <t>Realizar anualmente un foro de socialización de experiencias exitosas.</t>
  </si>
  <si>
    <t>Cubrir las 27 Instituciones Educativas y 20 establecimientos educativos privados con el programa "Líderes del Siglo XXI".</t>
  </si>
  <si>
    <t>Porcentaje de población objetivo protegidos por los programas de salud ejecutados según meta.</t>
  </si>
  <si>
    <t>Un programa de salud mental implementado.</t>
  </si>
  <si>
    <t>Número de gestantes vinculadas al programa de control prenatal antes de la semana No. 12 de gestión.</t>
  </si>
  <si>
    <t>Porcentaje de atención institucional del parto.</t>
  </si>
  <si>
    <t xml:space="preserve">Porcentaje de partos atendidos por personal calificado.
</t>
  </si>
  <si>
    <t>Número de niños y niñas de 0 a 5 años con cubiertos el esquema completo de vacunación.</t>
  </si>
  <si>
    <t>Porcentaje de población menor de 5 años beneficiada con las campañas anuales de prevención en mortalidad por IRA.</t>
  </si>
  <si>
    <t>Porcentaje de reducción de la tasa de mortalidad infantil en menores de 5 años.</t>
  </si>
  <si>
    <t>Porcentaje de población menor de 5 años beneficiada con las campañas anuales de prevención en mortalidad por EDA.</t>
  </si>
  <si>
    <t>Número de IPS con la estrategia implementada.</t>
  </si>
  <si>
    <t>Número de jornadas de pruebas voluntarias de VIH realizadas para población en riesgo.</t>
  </si>
  <si>
    <t>Número de personas de la población pobre no asegurada afiliadas al SGSSS (Sistema de Seguridad Social en Salud).</t>
  </si>
  <si>
    <t>8 campañas para promover la afiliación al SGSSS realizadas.</t>
  </si>
  <si>
    <t>Número de proyectos de infraestructura y dotación en la red pública de salud ejecutados.</t>
  </si>
  <si>
    <t>Un modelo de Atención Primaria en Salud "Palmira avanza más cerca de ti" para la prestación de servicios de salud implementado y evaluado.</t>
  </si>
  <si>
    <t>Número de bibliotecas municipales dotadas y mejoradas con plataforma de información, software y hardware.</t>
  </si>
  <si>
    <t>Una biblioteca modular infantil creada y dotada.</t>
  </si>
  <si>
    <t>3 bibliotecas modulares creadas.</t>
  </si>
  <si>
    <t>Una biblioteca móvil creada.</t>
  </si>
  <si>
    <t>2 bibliotecas municipales dotadas.</t>
  </si>
  <si>
    <t xml:space="preserve">Número de niños y niñas de primera infancia, infancia y adolescencia, vinculados a programas de formación artística (Escuelas de danza, pintura, teatro, música).
</t>
  </si>
  <si>
    <t>Número de programas de formación para la primera infancia, infancia y adolescencia creados y fortalecidos.</t>
  </si>
  <si>
    <t>Número de personas incluidas en el programa de monitorias artísticas.</t>
  </si>
  <si>
    <t>Un Centro de Arte y Cultura en funcionamiento.</t>
  </si>
  <si>
    <t xml:space="preserve">Número de artistas y gestores formados.
</t>
  </si>
  <si>
    <t>Número  de encuentros gastronómicos  de comida tradicional local realizados.</t>
  </si>
  <si>
    <t>Número de programas que estimulen la apropiación de saberes para la construcción de la identidad colectiva desarrollados.</t>
  </si>
  <si>
    <t>Número de eventos del Festival Internacional de Arte y Cultura Ricardo Nieto realizados.</t>
  </si>
  <si>
    <t>90 eventos anuales de promoción artística y cultural realizados.</t>
  </si>
  <si>
    <t>Un programa local de estímulos a la creación artística ejecutado.</t>
  </si>
  <si>
    <t>Un programa anual de promoción, difusión y articulación de las industrias culturales implementado.</t>
  </si>
  <si>
    <t>4 juegos deportivos universitarios y 4 juegos deportivos intercolegiados realizados.</t>
  </si>
  <si>
    <t>8 programas de iniciación deportiva para la primera infancia, infancia y adolescencia realizados.</t>
  </si>
  <si>
    <t>2 programas de preparación física para la participación en 2 versiones de los juegos departamentales y de 2 juegos paralímpicos.</t>
  </si>
  <si>
    <t>30 deportistas preparados para participar en 4 eventos del campeonato nacional de fútbol sub-19.</t>
  </si>
  <si>
    <t>3.000 deportistas de formación y de altos logros con preparación técnica y deportiva.</t>
  </si>
  <si>
    <t>25 eventos deportivos anuales del orden departamental y nacional, participacipados.</t>
  </si>
  <si>
    <t>2 Juegos deportivos comunales realizados.</t>
  </si>
  <si>
    <t>2 Juegos deportivos rurales realizados.</t>
  </si>
  <si>
    <t>2 programas anuales de actualización técnica deportiva dirigido a entrenadores, monitores y líderes comunitarios ejecutados.</t>
  </si>
  <si>
    <t>2 programas anuales de recreación dirigidos a persona en condición de desplazamiento ejecutado.</t>
  </si>
  <si>
    <t>5 programas de deporte dirigidos a personas en situación de discapacidad ejecutado.</t>
  </si>
  <si>
    <t>Un Comité de investigación, tecnología y ciencias aplicadas al deporte operando.</t>
  </si>
  <si>
    <t>Un programa para la resocialización de adolescentes infractores ejecutado anualmente.</t>
  </si>
  <si>
    <t>Un Sistema de Responsabilidad Penal para Adolescentes en funcionamiento.</t>
  </si>
  <si>
    <t>Número de acciones de prevención al reclutamiento ejecutadas.</t>
  </si>
  <si>
    <t>Un Consejo Municipal de Política Social capacitado en prevención del reclutamiento forzado.</t>
  </si>
  <si>
    <t>Porcentaje de niños y niñas con derechos garantizados y reestablecidos.</t>
  </si>
  <si>
    <t>Número de nuevos Centros de Desarrollo Infantil en funcionamiento.</t>
  </si>
  <si>
    <t>Un hogar de paso para la primera infancia operando.</t>
  </si>
  <si>
    <t>Un programa de prevención y erradicación de las peores formas de trabajo infantil y de explotación sexual comercial implementado.</t>
  </si>
  <si>
    <t>Un programa de seguimiento y evaluación anual de la política pública de infancia y adolescencia ejecutado.</t>
  </si>
  <si>
    <t>Un lineamiento de la Política pública de juventud "Participación y Diálogo Juvenil" implementado con la participación del Consejo Municipal de Juventud.</t>
  </si>
  <si>
    <t>Una política pública para grupos étnicos formulada e implementada.</t>
  </si>
  <si>
    <t>Una política pública de población LGTBI formulada e implementada.</t>
  </si>
  <si>
    <t>Una Política pública del adulto mayor implementada.</t>
  </si>
  <si>
    <t>Una política pública para población en situación de discapacidad formulada e implementada.</t>
  </si>
  <si>
    <t>Un observatorio de familia creado.</t>
  </si>
  <si>
    <t>Un programa de protección integral a la familia realizado.</t>
  </si>
  <si>
    <t>Una Comisaría de Familia rural descentralizada creada.</t>
  </si>
  <si>
    <t>Un programa de atención al migrante y su familia implementado.</t>
  </si>
  <si>
    <t>Una política de paz y convivencia "Haz Paz" implementada.</t>
  </si>
  <si>
    <t>Un Plan Especial de Inclusión Social implementado.</t>
  </si>
  <si>
    <t>Un Plan Integrado Único ajustado e implementado.</t>
  </si>
  <si>
    <t>Un plan de vivienda gestionado para población víctima del desplazamiento forzado por el conflicto interno armado.</t>
  </si>
  <si>
    <t>Un programa de formación competencias laborales para personas en condiciones de desplazamiento forzado por el conflicto interno armado.</t>
  </si>
  <si>
    <t>Número de hectáreas de áreas de interés ambiental público incrementadas.</t>
  </si>
  <si>
    <t>Número de hectáreas declaradas como reservas públicas.</t>
  </si>
  <si>
    <t>Número de hectáreas de interés ambiental público con planes de manejo formulados e implementados.</t>
  </si>
  <si>
    <t>Una acción de los planes de manejo de las reservas naturales de la sociedad civil registradas implementada.</t>
  </si>
  <si>
    <t>2 iniciativas de conservación implementadas en humedales en el municipio.</t>
  </si>
  <si>
    <t>Una acción implementada para promover la política nacional de producción más limpia.</t>
  </si>
  <si>
    <t>50 hectáreas reforestadas con especies nativas para proteger los nacimientos de agua.</t>
  </si>
  <si>
    <t>Una iniciativa implementada con el fin de aportar a la conectividad del Sistema Naciona de Áreas Protegidas SINAP.</t>
  </si>
  <si>
    <t>4 acciones ejecutadas de los Planes de Ordenación y Manejo de las Cuencas Hidrográficas POMCH de los ríos Amaime y Bolo.</t>
  </si>
  <si>
    <t>3 acciones de avance del Plan de Gestión Integral de Residuos Sólidos PGIRS.</t>
  </si>
  <si>
    <t>Un programa para el control de las afectaciones a la comunidad generados por los sectores comercial y empresarial formulado e implementado.</t>
  </si>
  <si>
    <t>Un sistema para el mantenimiento integral de zonas verdes y sistema arbóreo implementado.</t>
  </si>
  <si>
    <t>Un programa de promoción de la cultura y educación ambiental creado y ejecutado.</t>
  </si>
  <si>
    <t>Un programa de formalización de la actividad minera informal realizado.</t>
  </si>
  <si>
    <t>Una Unidad Municipal de Gestión del Riesgo creada.</t>
  </si>
  <si>
    <t>Un Fondo Territorial de Gestión del Riesgo creado.</t>
  </si>
  <si>
    <t>Un sistema de información para la gestión del riesgo creado.</t>
  </si>
  <si>
    <t>Porcentaje del Plan Municipal de Gestión del Riesgo PMGR ejecutado.</t>
  </si>
  <si>
    <t>Un Plan Local de Emergencia y Contingencia PLEC formulado.</t>
  </si>
  <si>
    <t>Un plan municipal de capacitación en gestión del riesgo y educación en emergencias formulado y ejecutado.</t>
  </si>
  <si>
    <t>Un reasentamiento de población en zona de alto riesgo realizado.</t>
  </si>
  <si>
    <t>Porcentaje de cobertura del servicio de acueducto y alcantarillado incrementado.</t>
  </si>
  <si>
    <t>Porcentaje de carga contaminante de las aguas residuales domésticas disminuido.</t>
  </si>
  <si>
    <t>15 tramos de redes de alcantarillados rural construidos y con reposición o según sea el caso.</t>
  </si>
  <si>
    <t>100 pozos sépticos instalados.</t>
  </si>
  <si>
    <t>600 sistemas sépticos con mantenimiento.</t>
  </si>
  <si>
    <t>Un plan de saneamiento y manejo de vertimientos formulado.</t>
  </si>
  <si>
    <t>2 proyectos gestionados para la construcción de alcantarillados rurales.</t>
  </si>
  <si>
    <t>50 acueductos rurales con asistencia técnica y administrativa.</t>
  </si>
  <si>
    <t>50 acueductos atendidos.</t>
  </si>
  <si>
    <t>Porcentaje de suscriptores de acueducto y alcantarillado de los estratos 1 y 2 de la zona urbana subsidiados.</t>
  </si>
  <si>
    <t>Un predio para la construcción de una Planta de Tratamiento de Aguas Residuales domésticas adquirido.</t>
  </si>
  <si>
    <t>Número de subsidios de vivienda gestionados incluido grupos vulnerables.</t>
  </si>
  <si>
    <t>Número de subsidios asignados para el mejoramiento de vivienda incluyendo grupos vulnerables.</t>
  </si>
  <si>
    <t>Número de predios titularizados.</t>
  </si>
  <si>
    <t>Un proyecto de mejoramiento de barrios gestionado.</t>
  </si>
  <si>
    <t>1.000 Mts de red eléctrica construida.</t>
  </si>
  <si>
    <t>200 luminarias instaladas.</t>
  </si>
  <si>
    <t>Un proyecto piloto de energía alternativa formulado e implementado.</t>
  </si>
  <si>
    <t>Número de pequeños y medianos productores agropecuarios beneficiados con servicios de  asistencia técnica.</t>
  </si>
  <si>
    <t>Número de usuarios con transferencia tecnológica.</t>
  </si>
  <si>
    <t>Número de usuarios beneficiados con servicios de asistencia técnica a través de convenios.</t>
  </si>
  <si>
    <t>Número de usuarios con  transferencia tecnológica.</t>
  </si>
  <si>
    <t>Número de asociaciones fortalecidas en encadenamientos productivos.</t>
  </si>
  <si>
    <t>Número de proyectos productivos cofinanciados a través del Fondo de Reactivación Agropecuaria Municipal FORAM.</t>
  </si>
  <si>
    <t>Número de beneficiados  a través de convenios para la cofinanciación de proyectos productivos.</t>
  </si>
  <si>
    <t>Un plan sostenible para el desarrollo y fomento del sector agropecuario formulado y ejecutado.</t>
  </si>
  <si>
    <t>Un programa hortofrutícola formulado e implementado.</t>
  </si>
  <si>
    <t>Una caracterización del sector agropecuario realizada.</t>
  </si>
  <si>
    <t>4 Fiestas Nacionales de la Agricultura realizadas y 4 Congresos de Desarrollo Agropecuario realizados.</t>
  </si>
  <si>
    <t>2 jornadas anuales de vacunación pecuaria realizadas.</t>
  </si>
  <si>
    <t>Un programa de seguridad alimentaria rural para 200 grupos familiares implementado.</t>
  </si>
  <si>
    <t>Un programa de seguridad alimentaria urbana para 200 grupos familiares implementado.</t>
  </si>
  <si>
    <t>Un programa de Culinaria Nativa - CuNa para 200 grupos familiares implementado.</t>
  </si>
  <si>
    <t>Crear e implementar el fondo de financiación de desarrollo empresarial.</t>
  </si>
  <si>
    <t>Un programa de promoción comercial.</t>
  </si>
  <si>
    <t>560 asistencias técnicas a Mipymes.</t>
  </si>
  <si>
    <t>560 unidades económicas acompañadas en su formalización.</t>
  </si>
  <si>
    <t>Un plan para el fomento del desarrollo de la industria formulado.</t>
  </si>
  <si>
    <t>Una estrategia turística implementada.</t>
  </si>
  <si>
    <t>Porcentaje del programa integral de desarrollo empresarial en el marco de la Agenda de Competitividad de Palmira, ejecutado.</t>
  </si>
  <si>
    <t>Número de proyectos de emprendimientos financiados anualmente.</t>
  </si>
  <si>
    <t>Número de proyectos de CTI gestionados en articulación con el Parque Industrial, Científico y Tecnológico del Pacífico.</t>
  </si>
  <si>
    <t>Una mesa de innovación, transferencia tecnológica e investigación operando.</t>
  </si>
  <si>
    <t>Un Plan Local de Empleo formulado y articulado en su implementación.</t>
  </si>
  <si>
    <t>Número de hogares de los estratos 1 y 2 dotados con infraestructura para el acceso a la Internet.</t>
  </si>
  <si>
    <t>Porcentaje del Programa "Ciudad Digital" implementado</t>
  </si>
  <si>
    <t>Un plan piloto de acceso a TIC implementado en 27 Instituciones Educativas.</t>
  </si>
  <si>
    <t>Número de espacios públicos con conectividad inalámbrica.</t>
  </si>
  <si>
    <t>Número de personas de la comunidad certificados en el uso de TIC.</t>
  </si>
  <si>
    <t>Porcentaje del Manual de Gobierno en Línea alcanzado.</t>
  </si>
  <si>
    <t>Porcentaje de incremento en el recaudo de impuesto predial unificado.</t>
  </si>
  <si>
    <t>Un proceso de estratificación actualizado.</t>
  </si>
  <si>
    <t>Porcentaje de incremento en el recaudo de impuestos de ICA.</t>
  </si>
  <si>
    <t>Porcentaje de disminución de la cartera del municipio.</t>
  </si>
  <si>
    <t>Un programa de capacitación de servidores públicos realizado.</t>
  </si>
  <si>
    <t>Un sistema de seguimiento y evaluación de competencias implementado.</t>
  </si>
  <si>
    <t>Un programa de bienestar social implementado.</t>
  </si>
  <si>
    <t>Un programa de bienestar social del sector educación implementado.</t>
  </si>
  <si>
    <t>Un programa de seguridad industrial y salud ocupacional formulado e implementado.</t>
  </si>
  <si>
    <t>Una reforma administrativa de modernización y descentralización de servicios realizada.</t>
  </si>
  <si>
    <t>Un programa de gestión documental implementado.</t>
  </si>
  <si>
    <t>2 de sistemas de información para la planificación territorial implementados.</t>
  </si>
  <si>
    <t>Un sistema de actualización del inventario de bienes inmuebles de propiedad del municipio implementado.</t>
  </si>
  <si>
    <t>Un sistema de actualización del inventario de bienes muebles de propiedad del municipio implementado.</t>
  </si>
  <si>
    <t xml:space="preserve">Número de SAC virtuales en funcionamiento.
</t>
  </si>
  <si>
    <t>Número de casos atendidos en las diferentes oficinas del SAC de la Secretaría de Protección en Salud.</t>
  </si>
  <si>
    <t>Número de elementos del MECI fortalecidos y apropiados.</t>
  </si>
  <si>
    <t>Un programa de fortalecimiento de la cultura de autocontrol, autogestión y autoregulación ejecutado.</t>
  </si>
  <si>
    <t>Un proceso de seguimiento y evaluación anual a la gestión y resultados de las empresas prestadoras de servicios públicos domiciliarios donde el municipio sea accionista ejecutado.</t>
  </si>
  <si>
    <t>Un macroproceso misional certificado bajo la NTC-GP 1000.</t>
  </si>
  <si>
    <t>Número de procesos de la Secretaría de Educación certificados en el Sistema de Gestión de Calidad ISO 9000.</t>
  </si>
  <si>
    <t>Un Fondo de patrimonio autónomo constituido.</t>
  </si>
  <si>
    <t>Una estructura tipo del programa de modernización del MEN ejecutado en la Secretaría de Educación.</t>
  </si>
  <si>
    <t>Un programa de modernización administrativa ejecutado para mejorar la prestación eficiente de los servicios en la Secretaría de Movilidad.</t>
  </si>
  <si>
    <t>Una de dotación anual de software y hardware necesarias para el funcionamiento de la administración municipal realizada con su respectivo mantenimiento.</t>
  </si>
  <si>
    <t>3.000 equipos de cómputo dotados a las Instituciones Educativas, Bibliotecas y Casa de la Cultura para mejorar el indicador de número de estudiantes por computador.</t>
  </si>
  <si>
    <t>Número de Sedes Educativas dotadas de los implementos necesarios para la enseñanza.</t>
  </si>
  <si>
    <t>Un Laboratorio Integrado de la Institución Educativa Raffo Rivera dotado.</t>
  </si>
  <si>
    <t>Porcentaje de equipos de oficina de la administración con funcionamiento adecuado.</t>
  </si>
  <si>
    <t>Número de cámaras de seguridad adquiridas.</t>
  </si>
  <si>
    <t>Número de entidades e Instituciones Educativas apoyadas con el pago de servicios públicos domiciliarios.</t>
  </si>
  <si>
    <t>Un plan de medios formulado y ejecutado.</t>
  </si>
  <si>
    <t>Un plan de comunicación interna formulado y ejecutado.</t>
  </si>
  <si>
    <t>20 edificaciones públicas adecuadas y con mantenimiento.</t>
  </si>
  <si>
    <t>Un centro de servicio y de atención al contribuyente implementado.</t>
  </si>
  <si>
    <t>Un estudio de vulnerabilidad sísmica al edificio central y otro a la planta de potabilización realizados.</t>
  </si>
  <si>
    <t>Un cementerio civil municipal en servicio.</t>
  </si>
  <si>
    <t>Un Plan integral de seguridad y convivencia ciudadana articulado con la Política Nacional de Seguridad y Convivencia Ciudadana formulado e implementado.</t>
  </si>
  <si>
    <t>Un  proceso de convivencia pacífica y resolución de diferencias implementado.</t>
  </si>
  <si>
    <t>4.000 personas capacitadas en principios, valores y convivencia ciudadana.</t>
  </si>
  <si>
    <t>30 cuadrantes del Plan Nacional de Vigilancia Comunitaria incrementados.</t>
  </si>
  <si>
    <t>3 CAI adecuados que cumplen con las condiciones de seguridad y operatividad.</t>
  </si>
  <si>
    <t>3 lotes donados para la construcción de un CAI, el Comando Sur de la Policía y la sede de Medicina Legal.</t>
  </si>
  <si>
    <t>100 efectivos de Policías de vigilancia y seguridad incrementados.</t>
  </si>
  <si>
    <t>100 motocicletas adquiridas y entregadas en comodato a los organismos de seguridad.</t>
  </si>
  <si>
    <t>10 líneas telefónicas disponibles del Número Único Nacional 123 en funcionamiento.</t>
  </si>
  <si>
    <t>Un proceso de Palmira Ciudad Educadora formulada.</t>
  </si>
  <si>
    <t>100% de casos para resolución de conflictos atendidos por inspectores policiales.</t>
  </si>
  <si>
    <t>100% de casos atendidos por mecanismos alternativos de solución de conflictos.</t>
  </si>
  <si>
    <t>2 campañas anuales dirigidas a la cultura de legalidad y convivencia realizadas.</t>
  </si>
  <si>
    <t>Una campañas anual de civismo realizada.</t>
  </si>
  <si>
    <t>Una programa para la protección de animales ejecutado.</t>
  </si>
  <si>
    <t>Un programa de servicios comunitarios para contribuir en el mejoramiento de la paz y convivencia en la Casa de Justicia diseñado e implementado.</t>
  </si>
  <si>
    <t>16 brigadas móviles prestando servicios de solución de conflictos.</t>
  </si>
  <si>
    <t>Un Convenio integral INPEC y Municipio ejecutado.</t>
  </si>
  <si>
    <t>Un programa de resocialización para la población carcelaria y penitenciaria y su entorno familiar implementado.</t>
  </si>
  <si>
    <t xml:space="preserve">Número de espacios de participación ciudadana con reconocimiento constitucional promovidos y apoyados.
</t>
  </si>
  <si>
    <t>Número de organizaciones sociales del sector salud fortalecidas.</t>
  </si>
  <si>
    <t>4 procesos de rendición de cuentas realizado.</t>
  </si>
  <si>
    <t>Un proceso de presupuesto participativo implementado.</t>
  </si>
  <si>
    <t>160.000 m2 de vías en la zona urbana con mantenimiento.</t>
  </si>
  <si>
    <t>1.200.000 m2 de vías en la zona rural con mantenimiento.</t>
  </si>
  <si>
    <t>3.600 m3 de gaviones construidos.</t>
  </si>
  <si>
    <t>540 m3 de muros de contención construidos.</t>
  </si>
  <si>
    <t>44.100 m2 de vías en la zona urbana pavimentados.</t>
  </si>
  <si>
    <t>600 m2 de ciclo ruta construidos.</t>
  </si>
  <si>
    <t>3.000 m2 de andenes en la zona urbana construidos.</t>
  </si>
  <si>
    <t>39.400 m2 de vías del Plan Vial construidos.</t>
  </si>
  <si>
    <t>2 puentes vehiculares y 3 puentes peatonales construidos.</t>
  </si>
  <si>
    <t>5.585 m2 de vías en la zona rural pavimentados.</t>
  </si>
  <si>
    <t>42.700 m2 de  vías de acceso al terminal de transporte construidos.</t>
  </si>
  <si>
    <t>100 m2 de rampas mejorar la movilidad de las personas en condición de discapacidad.</t>
  </si>
  <si>
    <t>6.860 m2 de andenes en la zona rural construidos.</t>
  </si>
  <si>
    <t>Un Plan Estratégico de Movilidad formulado e implementado.</t>
  </si>
  <si>
    <t xml:space="preserve">Un estudio técnico de vías de acceso y uno estudio técnico de redes de servicios públicos realizados.
</t>
  </si>
  <si>
    <t>Porcentaje de kilómetros de rutas de acceso a centros de oferta de bienes y servicios públicos incrementados.</t>
  </si>
  <si>
    <t>Número de rutas de transporte público eficientes creadas e implementadas.</t>
  </si>
  <si>
    <t>Un Plan de Seguridad Vial elaborado e implementado.</t>
  </si>
  <si>
    <t>5 soluciones implementadas respecto a los puntos de alta accidentalidad identificados.</t>
  </si>
  <si>
    <t>Un programa de señalización y demarcación implementado.</t>
  </si>
  <si>
    <t>Un programa de pedagogía vial dirigido a todos los actores de la vía implementado.</t>
  </si>
  <si>
    <t>72 personas destinadas al control y la vigilancia vial.</t>
  </si>
  <si>
    <t>100% de la red de semáforos en funcionamiento.</t>
  </si>
  <si>
    <t>Un sistema inteligente de control de tránsito y semaforización implementado.</t>
  </si>
  <si>
    <t>Un programa de promoción de actividades alternativas y sustitutivas para los conductores de los vehículos de tracción animal VTA implementado.</t>
  </si>
  <si>
    <t>Número de proyectos gestionados para el impulso local y subregional.</t>
  </si>
  <si>
    <t>Un POT ajustado.</t>
  </si>
  <si>
    <t xml:space="preserve">3 planes comunales formulados y 3 planes corregimentales formulados.
</t>
  </si>
  <si>
    <t>Un proyecto urbanístico y de peatonalización en la zona céntrica formulado y ejecutado.</t>
  </si>
  <si>
    <t>Un proyecto de reubicación de vendedores ambulantes y estacionarios ejecutado.</t>
  </si>
  <si>
    <t>Un proyecto de recuperación y adecuación de espacio público en las zonas centro y galerías.</t>
  </si>
  <si>
    <t>Meta esperada a Dic.2015</t>
  </si>
  <si>
    <t xml:space="preserve">Valor Programado del Indicador </t>
  </si>
  <si>
    <t>PTO.DEFINTIVO</t>
  </si>
  <si>
    <t>PTO.EJECUTADO</t>
  </si>
  <si>
    <t>Ingresar jóvenes al sistema educativo formación integral para media</t>
  </si>
  <si>
    <t xml:space="preserve">Ingresar niños y niñas de primera infancia al sistema educativo.
</t>
  </si>
  <si>
    <t xml:space="preserve">Ingresar  niños y niñas a la formación integral en transición o grado cero.
</t>
  </si>
  <si>
    <t xml:space="preserve">Ingresar niños y niñas al sistema educativo en  básica primaria.
</t>
  </si>
  <si>
    <t>Ingresar niños y niñas al sistema educativo en básica secundaria.</t>
  </si>
  <si>
    <t>Ingresar niños, niñas adolescentes y jóvenes en situación de vulnerabilidad (Población étnica, población afectada por la violencia, población rural dispersa) al sistema educativo.</t>
  </si>
  <si>
    <t>Aplicar Metodologías flexibles</t>
  </si>
  <si>
    <t>Ejecutar el Plan Padrinos en I.E</t>
  </si>
  <si>
    <t>Ejecutar el PER.</t>
  </si>
  <si>
    <t>Construir y mejorar la infraestructura educativa</t>
  </si>
  <si>
    <t>Realizar estudios y diseños de la Ciudadela educativa Palmira Avanza</t>
  </si>
  <si>
    <t>Otorgar Subsidios para acceso a la media</t>
  </si>
  <si>
    <t>Construir la infraestructura para la educación superior</t>
  </si>
  <si>
    <t>Ejecutar Programas técnicos y tecnológicos transferidos a Instituciones de educación media</t>
  </si>
  <si>
    <t>Realizar convenios con el SENA, instituciones de educación superior e instituciones de educación para formación tecnológica en las Instituciones Educativas</t>
  </si>
  <si>
    <t>Ejecutar la Educación por ciclos</t>
  </si>
  <si>
    <t>Beneficiar con Transporte escolar</t>
  </si>
  <si>
    <t>Beneficiar con alimentación escolar en zona rural</t>
  </si>
  <si>
    <t>Beneficiar con alimentación escolar en zona urbana</t>
  </si>
  <si>
    <t>Garantizar la gratuidad educativa</t>
  </si>
  <si>
    <t>Otorgar Seguros estudiantiles</t>
  </si>
  <si>
    <t>Ejecutar Refuerzo de competencias (convenios)</t>
  </si>
  <si>
    <t>Ejecutar el Programa "Todos a aprender"</t>
  </si>
  <si>
    <t>Ejecutar el programa de Fortalecimiento en lenguaje y matemáticas</t>
  </si>
  <si>
    <t>DESCRIPCIÓN</t>
  </si>
  <si>
    <t>EVIDENCIA</t>
  </si>
  <si>
    <t>OBSERVACION</t>
  </si>
  <si>
    <t>INFORME DE GESTIÓN (Cumplimiento de Metas)  
AÑO 2012</t>
  </si>
  <si>
    <t>Proyecto</t>
  </si>
  <si>
    <t>En el año 2012, la Secretaría de Hacienda, ejecutó un proceso de mejora en los procesos y procedimientos. Implementó un nuevo software de impuesto, se depuró la información de las bases de datos, mejoró la oportunidad en la información, mejoró la gestión de recaudo fiscal  y la recuperación de cartera, se estableció estrategias con entidades financieras para el mejoramiento del recaudo, se mejoró la orientación y atención al contribuyente, se incrementó y fortaleció la etapa persuasiva de cobro-</t>
  </si>
  <si>
    <t>Se ejecutaron campañas tributarias permanentes a través de radio, prensa, televisión, pasacalles, boletines</t>
  </si>
  <si>
    <t>Publicaciones en prensa, Contratos con medios de comunicaciones, registros fotográficos.</t>
  </si>
  <si>
    <t>Aplicativo de impuestos, Contratos Empresas de Correo certificados, Convenios con entidades bancarias,  contratos de prestación de servicios.</t>
  </si>
  <si>
    <t>En el año 2012, la Secretaría de Hacienda, implementó un nuevo software de impuesto, se depuró la información de las bases de datos, mejoró la oportunidad en la información, mejoró la gestión de recaudo fiscal  y la recuperación de cartera, se estableció estrategias con entidades financieras para el mejoramiento del recaudo, se mejoró la orientación y atención al contribuyente, se incrementó y fortaleció la etapa coactiva de cobro, clasificación de los procesos administrivos por juridiscción coactiva por especialidades.</t>
  </si>
  <si>
    <t>Aplicativo de impuestos, Contratos Empresas de Correo certificados, Convenios con entidades bancarias,  contratos de prestación de servicios. Expedientes de los procesos</t>
  </si>
  <si>
    <t xml:space="preserve">El informe de cartera contenido en el Diagnóstico de la Secretaría de Hacienda fue objeto de depuración </t>
  </si>
  <si>
    <t>La Secrataría de Planeación proyectó el Decreto No. 214 de agosto de 2012, el cual fuen sancionado por el Sr. Alcalde. El Fondo se crea en cumplimiento de la Ley 1523 de 2012, el cual es la instancia legal para manejo de los recursos de acuerdo con la Política Municipal de Gestión del Riesgo de Desastre.</t>
  </si>
  <si>
    <t>Por solicitud de la Unidad Nacional de Gestión del Riesgo, se radicó el proyecto de Acuerdo para la Creación del Fondo Municipal de Gestión del Riesto. Proceso que se encuentra en trámite en el Concejo Municipal para su aprobacón en el mes de marzo de 2013.</t>
  </si>
  <si>
    <t>El PMGR, contempla la creación del Consejo Municipal de Gestión del Riesgo, el diagnóstico y caracterización de la familias localizadas en zona de alto riesgo; la creación del Fondo Municipal Territorial de Gestión del Riesgo, la gestión ante el gobierno nacional para la asignación de 50 subsidios de vivienda gratuitas y la elaboración de fichas de proyectos correspondientes a las medidas de conocimiento, mitigación y prevención del riesgo. Lo anterior corresponde a un avance del 10% de la ejecución del Plan.</t>
  </si>
  <si>
    <t>Decreto No. 214 de agosto 10 de 2012. Contrato Prestación Servicio Nos. 164 y 595 y consultoría No. 824.</t>
  </si>
  <si>
    <t>Decreto No. 272 de diciembre de 2012 y documento técnico de Soporte. Consejo Municipal de Gestión del Riesgo creado, Diagnóstico y caracterización de la familias localizadas en zona de alto riesgo; Fondo Municipal Territorial de Gestión del Riesgo, 50 subsidios de vivienda gratuitas asignadas y las Fichas de proyectos para el conocimiento, mitigación y prevención del riesgo.</t>
  </si>
  <si>
    <t>La Ley 1523 de 2012, transfomó el PLEC en EMRE.</t>
  </si>
  <si>
    <t>El EMRE fue formulado y adoptado. Incluyó la formulación para dos escenarios de riesgo, inundación e incendio forestales. En este marco, se compraron equipos de comunicaciones y GPS.</t>
  </si>
  <si>
    <t>Decreto No. 273 de diciembre de 2012. Contrato de Compra-Venta R.G.M. electrónica (35979992), Contrato de prestación de servicio No. 595 de 2012</t>
  </si>
  <si>
    <t>Documentos técnicos de soporte, Actas de reuniones. Contratos de prestación de servicio Nos. 064</t>
  </si>
  <si>
    <t>En el marco del ajuste excepcional del POT, se realizó el prediagnóstico, el diagnóstico que fue socializado con la comunidad, CTP y CVC, la actualización cartográfica y se elaboró el Proyecto de Acuerdo</t>
  </si>
  <si>
    <t>En materia de desarrollo del territorio, se fomularon 5 proyectos (Acueducto de Rozo, Parque Biopacífico, Recuperación malla vial, II fase de la Univalle, II fase del HSVP), de los cuales, se ejecutó el de la recuperación de la malla vial.</t>
  </si>
  <si>
    <t>Proyectos formulados</t>
  </si>
  <si>
    <t>Para el desarrollo del parque Biopacífico, es necesario elaborar un Plan de Manejo Especial que permita otorgar normas (edificabilidad, uso de suelo, servicios publicos, vias, sistema ambiental, etc), para su ejecución.</t>
  </si>
  <si>
    <t>Contrato de prestación de servicio No. MP-92-2012,  Actas de compromisos, Actas de votaciones, registro fílmico y fotográfico, boletines informativos</t>
  </si>
  <si>
    <t>La administración municipal adelantó el proceso de participación ciudadana en la zona rural, donde se llevaron a cabo reuniones sectoriales con líderes y representantes de comunidades (desplazados, minorías étnicas, LGTBI, juventud, infancia y adolescencia), comprometiéndose $5,050,828,812 de recursos de inversión destinados a la construcción de acueductos rurales, pavimento de vías, equipamientos urbanos (escuelas, centros de salud, mejoramiento de vivienda, saneamiento, etc).</t>
  </si>
  <si>
    <t>En el Departamento del Valle, se han agrupado 11 municipio que se ha denominado G-11 quienes vienen gestionando proyectos importantes para el impulso y desarrollo del territorio, tales como la construcción de la segunda pista del Aeropuerto Alfonso Bonilla Arangón, la recuperación ambiental del Rio Cauca, la creación de un Centro de Ciencia y Tecnología Automotriz, el desarrollo agroindustrial de zonas rurales, diseño técnico, implementación y funcionamiento de una estrategia integral de convivencia y seguridad ciudadana, la Creación de una Ruta Ecoturística . En este marco de integración subregional, se ha avanzado en los siguientes logros: Formulación concertada un un Portafolio de proyectos subregionales y regionales, firma del acuerdo de integración y desarrollo, incorporación de iniciativas a los planes de desarrollo de los municipios, acuedo de armonizar los POT de los municipios y la formulación del plan de ordenamiento regional, creación del consejo regional de seguridad y cultura de la interinstitucionalidad de los equipos conformados para la promoción, formulación y gestión de los proyectos.</t>
  </si>
  <si>
    <t>Acuerdo de voluntades del G-11, Actas de reuniones y Proyectos formulados</t>
  </si>
  <si>
    <t>En el marco de la estrategia de fortalecimiento tecnológico en las instituciones educativas del Municipio, el gobierno local gestionó ante el gobierno nacional la asignación de computadores portátiles y tablets para niños y niñas que así lo requieran. De éstos equipos asignados, se destinarán algunos para el fortalecimiento de las bibliotecas públicas locales, para lo que se aportaron recursos provenientes de este dependencia.</t>
  </si>
  <si>
    <t>Computadores adquiridos.</t>
  </si>
  <si>
    <t>Computadores a ser entregados en la vigencia 2013. Este proceso se fortalecerá con la compra de más equipos por parte de la secretaría de cultura a través de la oficina de informática del Municipio de Palmira.</t>
  </si>
  <si>
    <t>La dotación consiste en mobiliario para población infantil a ser atendida en la Biblioteca Pública Municipal 'Mariela del Nilo'. Esta dotación consiste en estantería, mesas, sillas y material didáctico para niños y niñas de la ciudad de Palmira.</t>
  </si>
  <si>
    <t>Durante la vigencia 2012 se presentó ante la Oficina Jurídica el proceso pre contractual correspondiente a dotación en mobiliario para la biblioteca pública municipal Mariela del Nilo por un valor de $161,002,280. Este contrato será ejecutado en la vigencia 2013.</t>
  </si>
  <si>
    <t>A ejecutarse durante la próxima vigencia.</t>
  </si>
  <si>
    <t>Se adjudicó contrato para la adecuación de las instalaciones físicas la Bibliteca de La Buitrera por valor de $7,642,450 (por tiempos, tuvo que pasar a ejecutarse en el 2013); una vez hecha esta adecuación física, se dotará de material bibliográfico este espacio para el año 2013. El Municipio de Palmira realizó gestión ante la Biblioteca Departamental para dotación en libros por valor de $3,000,000</t>
  </si>
  <si>
    <t>Contrato de Obra Pública MP-796-2012; Material bibliográfico dotado.</t>
  </si>
  <si>
    <t>En el marco del programa de monitorias artísticas se dictan cursos de extensión en arte a niños y niñas de la zona urbana y rural. Cursos gratuitos dictados en: Guitarra (eléctrica, popular y clásica), bajo eléctrico, piano, técnica vocal, escuelas musicales infantiles, violín, teatro, manualidades (foamy, guadua, decoración de fiestas, etc), dibujo y pintura, diseño gráfico, danzas (folclóricas, de salón, arabe), fotografía, entre otros. El Municipio de Palmira realizó contratación directa con 49 docentes por valor de $296,104,000 para la realización de los cursos de formación artística.</t>
  </si>
  <si>
    <t>Listados de asistencia a los cursos, fotografías, videos de muestras de los estudiantes.</t>
  </si>
  <si>
    <t>Las monitorias artísticas hacen parte del programa de Creación artística y cultural de la secretaría de cultura y turismo. En el proceso de planificación del programa interviene la secretaria de despacho y su equipo de trabajo, asignando monitorias en lugares específicos del Municipio, de acuerdo a las necesidades de la comunidad beneficiada.</t>
  </si>
  <si>
    <t>Contratos firmados por los docentes contratados.</t>
  </si>
  <si>
    <t>En el marco del programa de monitorias artísticas se dictan cursos de extensión en adultos de la zona urbana y rural. Cursos gratuitos dictados en: Guitarra (eléctrica, popular y clásica), bajo eléctrico, piano, técnica vocal, escuelas musicales infantiles, violín, teatro, manualidades (foamy, guadua, decoración de fiestas, etc), dibujo y pintura, diseño gráfico, danzas (folclóricas, de salón, arabe), fotografía, entre otros. El Municipio de Palmira realizó contratación directa con 49 docentes por valor de $296,104,000 para la realización de los cursos de formación artística.</t>
  </si>
  <si>
    <t xml:space="preserve">En el marco del programa de monitorias artísticas se dictan cursos de extensión en arte a niños y niñas de la zona urbana y rural. Cursos gratuitos dictados en: Guitarra (eléctrica, popular y clásica), bajo eléctrico, piano, técnica vocal, escuelas musica. La población atendida principalmente en la Casa de la Cultura Ricardo Nieto es la perteneciente a población de estratos 1 y 2. </t>
  </si>
  <si>
    <t>Contratos firmados por los docentes contratados para dictar los cursos de extensión en arte en la Casa de la Cultura Ricardo Nieto.</t>
  </si>
  <si>
    <t>En el marco del XVIII Festival Internacional de Arte Ricardo Nieto se dictaron talleres (lutheria, artes escénicas, fotografía, artes plásticas, cine, entre otros), dirigidos a artisas y gestores culturales y a la comunidad en general. Igualmente, el monitor José López Ebrat fue contratado para dictar talleres en Industrias Culturales.</t>
  </si>
  <si>
    <t>Registros fotográficos de los talleres dictados en el marco del festival de arte; listados de asistencia a los talleres de industrias culturales.</t>
  </si>
  <si>
    <t>Se está trabajando en la realización del presupuesto para presentar proyecto ante el departamento del valle con autorización del ministerio de cultura, para gestionar el apoyo de recuperación del edificio de la antigua estación del ferrocarril.</t>
  </si>
  <si>
    <t>En el marco de la Fiesta Nacional de la Agricultura se realizó un encuentro gastronómico. A su vez, se promocionó la gastronomía local mediante la emisión de el Programa "La mochila" de Telepacífico en el que se daba a conocer los platos típicos y lugares representativos de los corredores turísticos; Celebración del día de la Afropalmiranidad en el que se destacó la participación de la comunidad afro mediante muestras artísticas y gastronómicas; Apoyo a la realización del Festival de Música del Pacífico 'Petronio Álvarez'.</t>
  </si>
  <si>
    <t>Video promocional</t>
  </si>
  <si>
    <t>Los recursos del día de la afropalmiranidad y del Festival de Música del Pacífico Petronio Álvarez están relacionados en ítems posteriores.</t>
  </si>
  <si>
    <t>Apoyo a la muestra "Pueblito artesanal" realizada en el marco de la Fiesta Nacional de la Agricultura 2012; Apoyo a la muestra artesanal realizada con la Secretaría de Agricultura en el Parque de la Factoría, con el apoyo de la Universidad del Valle, artesanías de Colombia y otras entidades que colaboraron en la escogencia de los artesanos a participar. Se invirtió $18,000,000 en el apoyo a la muestra artesanal realizada en el marco de la Fiesta de la Agricultura; La secretaría de cultura aportó artistas por valor de $2,000,000 en la muestra artesanal realizada en el Parque de la Factoría,.</t>
  </si>
  <si>
    <t xml:space="preserve">Informes del contratista. </t>
  </si>
  <si>
    <t>Realización del XVIII Festival Internacional de Arte Ricardo Nieto. Países invitados: Argentina, Ecuador, Indonesia, Cuba, Venezuela; Muestras artísticas en música, danzas folclóricas, artes plásticas, artes escénicas. Artistas invitados: Kraken, Lucas Arnau, Jorge Fresquet, Aqualactica de Argentina, entre otros.</t>
  </si>
  <si>
    <t>Fotografías e informes del festival.</t>
  </si>
  <si>
    <t>Se realizó la XVIII Versión del festival internacional de arte Ricardo Nieto en la zona urbana y rural</t>
  </si>
  <si>
    <t>Apoyo a la realización de eventos organizados por la comunidad palmirana en el marco de la celebración de fiestas y/0 festivales locales; realización del evento tradicional denominado "Bajo la Ceiba"; apoyo en la realización del carnaval de negros y blancos de zamorano; apoyo al titere festival internacional; realización de actividades artísticas semanales en la Concha Acústica de el Bosque Municipal; apoyo a la realización del X Concurso de Bandas Marciales; realización del Festival de música del pacífico Petronio Alvarez; apoyo al festival de música Gospel; realización del festival internacional de Ballet; apoyo al Festival de Cine Corto del suroccidente colombiano; realiación del festival de salsa; realización de la muestra coral en 7 comunas del Municipio de Palmira; realización de los pesebres comunitarios en 10 barrios de la ciudad; presentaciones artísticas de la banda municipal de música; realización del programa semanal ACTIVARTE; realización de los pesebres navideños en 10 barrios de la ciudad durante 9 días.</t>
  </si>
  <si>
    <t>Informes de los contratistas ejecutantes de cada uno de los proyectos ejecutados.</t>
  </si>
  <si>
    <t>En el marco del XVIII Festival Internacional deArte Ricardo Nieto se realizó el concurso intercolegiado de poesía Ricardo Nieto. Los concursantes fueron evaluados por un grupo de escritores palmiranos quienes escogieron los trabajos mejor elaborados y fueron premiados a los cinco primeros puestos con Tablets. Se realizó con recursos del Festival de Arte Ricardo Nieto.</t>
  </si>
  <si>
    <t>Fotografías de entrega de premios a los ganadores</t>
  </si>
  <si>
    <t>Se realizó con recursos del Festival de Arte Ricardo Nieto.</t>
  </si>
  <si>
    <t>En el marco del XVIII Festival Internacional deArte Ricardo Nieto se dictaron talleres dirigidos a artisas y gestores culturales en temas de interés para la comunidad artística y general. Igualmente, el monitor José López Ebrat fue contratado para dictar talleres en Industrias Culturales.</t>
  </si>
  <si>
    <t>Recursos destinados desde el Proyecto de Formación Artística y Cultural</t>
  </si>
  <si>
    <t xml:space="preserve"> Se realizó convenio con la Corporación Destino Paraíso para la realización del plan de promoción turística local; se realizó contrato para el diseño e instalación de dos puntos de información turística a ser dispuestos en el aeropuerto de la ciudad; se realizó contrato para la realización de la señalización turística del Municipio de Palmira por valor de $32,000,000.</t>
  </si>
  <si>
    <t xml:space="preserve">El proyectó con destino paraíso se ejecutó en un 70% durante el 2012, el 30% restante pasa para la siguiente vigencia 2013; El proyecto de los PITS se realizó pero su funcionamiento se dará en el 2013 con el acompañamiento de guias turísticos; el contrato de señalización turística pasa para la próxima vigencia. </t>
  </si>
  <si>
    <t>La secretaria de protección en salud cumpliendo con los objetivos establecidos en el Plan Nacional de Salud Pública y mediante los convenios interadministrativos con la ESE del Municipio dio cumplimiento para la ejecución del plan de intervenciones colectivas. Cabe destacar también el acrecamiento que se tuvo con todas las EPS, EPS-S que hacen parte del Sistema de Seguridad Social en Salud y que son las directas responsables de la atención de la población de nuestro municipio a quienes se les socializo el nuevo modelo de atención en salud y las acciones colectivas que se habian propuesto para el año 2012.               Con la experiencia del año 2012, para el año 2013 se busca alcanzar el cumplimeinto de todas las metas en cada uno de los objetivos del Plan indicativo municipal y así ir avanzando en la atención de toda la población de nuestro municipio</t>
  </si>
  <si>
    <t xml:space="preserve">Informes de interventoria de los convenios con la ESE del municpio (convenio para la atención de la PPNA y desplazados y el convenio de salud pública). Información de las plantillas de los programas  de salud pública (TB, PAI, SIVIGILA), informes de los proyectos de salud pública (saneamiento, ECNT adultos mayores, salud oral, aseguramiento, SAC PQR, salud mental, zoonosis, SSR, ITS, APS) </t>
  </si>
  <si>
    <t>El empoderamiento por parte de las EPS, EPS-S del plan de intervenciones colectivas PIC es un trabajo que debe ser constante y con el trabajo que ha iniciado la secretaria de protección en salud se ha alcanzado un avance importantisimo.         Centrar las actividades  de cada uno de los actores que prestan servicios de salud es el objetivo para el año 2013.</t>
  </si>
  <si>
    <t xml:space="preserve">La secretaria de protección en salud inició el proceso de convocatoria a las diferentes instituciones para empezar el proceso de creación de la politica pública de salud mental PPSM. El conformar la mesa de trabajo intersectorial para la construcción de la PPSM es el objetivo que tiene la Secretaria de Salud para el año 2013, involucarndo a todos los actores del sistema de salud como son EPS, EPS-S, ICBF, COMISARIA DE FAMILIA, POLICIA, SERETARIA DE EDUCACIÓN, POLICIA DE INFANCIA Y ADOLESCENCIA, SECRETARIA DE INTEGRACIÓN SOCIAL, OBSERVATORIO DE FAMILIA, CEAI, entre otros)            </t>
  </si>
  <si>
    <t>Como eviedncias para el año 2012 quedan los oficios de convocatoria para la confromación de la mesa de trabajo, el registro de asistencia de los que acudieron al llamado y para el año 2013 la continuidad del proceso de creación de la PPSM en el PIC municipal.</t>
  </si>
  <si>
    <t>El compromiso de cada uno de los actores y el liderazgo de la secretaria de salud en el proceso de la contrucción de la PPSM es definitivo para alcanzar esta meta para el cuatrienio 2012-2015. Cabe destacar en el trabajo del programa de salud mental la conformación de 40 familias fuertes, la reducción en los intentos suicidas con respecto al año 2012 y el seguimiento y direccionamiento de los casos de VIF, VCM y VSX</t>
  </si>
  <si>
    <t>La secretaria de salud en sus funciones de inspección, vigilancia y control a cada uno de los actores del SGSSS del municipio. Con base en la resolución 412 de 2000 y el acuerdo 117 del mismo año, todas las instituciones prestadoras de servicios de salud deben programar actividdaes de demanda inducida para la captacion temprana en el programa de la detaeccion precoz de las alteraciones del embarazo</t>
  </si>
  <si>
    <t>Plantilla o BD de registro de las mujeres en embarazo en las EBAPS que funcionan en el Muncipio</t>
  </si>
  <si>
    <t xml:space="preserve">La captación temprana de la mujer embarazada es una acción primordial para evitar muertes y lesiones maternas y perinatales.
Por eso, entre las acciones del PIC 2013 esta el priorizar la captación temprana del embarazo antes de las 12 semanas de gestación .  Es importante el trabajo que hacen las EPS, EPS-S  e IPS para captar esta población, de allí que las actividades asociadas a este programa son:
(captación por búsqueda activa de embarazadas en el primer trimestre por equipo APS y/o personal de salud)
</t>
  </si>
  <si>
    <t>La atención institucional del parto es una medida de primer orden para disminuir de manera significativa la morbimortalidad materna y perinatal. En este sentido, la secretaria de protección en salud mediante los procesos de IVC e implementación de los programas de Instituciones Amigas de la Infancia y la Mujer IAMI busca establecer los parámetros mínimos que garanticen una atención de calidad, con racionalidad científica, para el desarrollo de las actividades, procedimientos e intervenciones durante la atención del parto, con el propósito de dar respuesta a los derechos en salud de las mujeres y sus hijos.</t>
  </si>
  <si>
    <t>La institucionalización del parto se evidencia en la BD de datos de nacimientos registrados en el aplicativo web del registro único de afiliados del ministerio de salud RUAF</t>
  </si>
  <si>
    <t xml:space="preserve">El trabajo social para lograr que las mujeres en embarazo acudan en el momento del trabajo de parto a una institución de salud ha sido un trabajo constante por medio de la secretaria de protección en salud en su programa de salud materna, por medio de los grupos de APS. Este trabajo debe ser articulado con las EBAPS y debe ir encaminado a mejorar nivel educativo de la comunidad, el 
autocuidado de la embarazada, la educación para la  
planificación familiar.
</t>
  </si>
  <si>
    <t xml:space="preserve">Las IPS que atienden partos en el municipio de Palmira cuentan con personal calificado para la atención del parto, en un ámbito propicio y dentro del sistema de salud el cual se encuentra capacitado para ofrecer atención a partos normales, así como atención
obstétrica de emergencia apropiada a todas las mujeres que presentan complicaciones durante el parto.  </t>
  </si>
  <si>
    <t>Registro de partos de las IPS, programación de personal calificado para la atención de los partos en las Instituciones de Salud.                 Informes de seguimiento mensual a gestantes y registro de captación.</t>
  </si>
  <si>
    <t>Mediante los convenios de salud pública, programar la capacitación a los profesionales de la salud en temas relacionados con la atención del binomio madre e hijo.         Es de resaltar que por medio de los convenios de salud pública se logró hacer seguimiento a gestantes, adherencia a control embarazo, seguimiento continuo a pacientes alto riesgo, educaciòn a la familiay a al comunidad.        Además,  se realizó captacion de mujeres en el primer trimestre en estado de gestaciòn que no se habian inscrito en el control de embarazo.</t>
  </si>
  <si>
    <t>El objetivo del Plan Ampliado de Inmunización es disminuir la morbilidad y mortalidad de las enfermedades prevenibles por vacunas en la población menor de cinco años, con enfasis en la población menor de un año y grupos en riesgo, a través de la vacunación; todo esto con el proposito de mantener la erradicacin de la poliomielitis y garantizar la erradicacin del sarampión, eliminación del tetanos neonatal, tos ferina, difteria, rubola, parotiditis, hepatitis B, sndrome de
rubola congnita (SRC) y enfermedades invasivas por Hib.</t>
  </si>
  <si>
    <t xml:space="preserve">Informes de ejecución de las seis (6) jornadas de vacunación interinstitucionales coordinadas por la secretaria de salud,  actas de reuniòn, informe de logros por jornada. Plantilla del programa ampliado de inmunización diseñado por el ministerio de salud.  Además se realizó barrido casa para el mejoramiento de las coberturas del PAI en sectores vulnerables de Palmira mediante la estrategia de inicio y terminacion de esquema de vacunaciòn con los equipo s de APS.  </t>
  </si>
  <si>
    <t xml:space="preserve">Las actividades realizadas están soportadas con las evidencias se fortalecieron mediante las estrategias IEC (información, educación y comunicación) con plegables, volantes, afiches, programa radial y cuñas en televisión.        Otros factores que contribuyeron al aumento de las coberturas de vacunación fue el trabajo de vigilancia implementado por la secretaria de salud a cada una de la IPS que prestan el servicio de vacunación en el municipio, la actualización de los lineneamientos nacionales de vacunación por parte de la referente del programa municipal hace que para el año 2012 se haya pasado del 74% en el 2011 al 78,6% en coberturas en el año 2012.           </t>
  </si>
  <si>
    <t>Las enfermedades prevalentes de la infancia que más afectan a los menores son la infección respiratoria aguda y la enfermedad diarreica aguda, las cuales presentaron un comportamiento diferente dado que los casos de IRA aumentaron en 1.807 (21%) casos mientras que los casos de diarrea disminuyeron en 660 casos (16%), se resalta aquí el aumento de la cobertura de la vacuna rotavirus la cual es la causante del 80% de las EDAS en un  8.2%.</t>
  </si>
  <si>
    <t xml:space="preserve">Actas de entregas de la dotaciòn de los 23 UROC-UAIRAC, listados de capacitaciones.                   Socialización de la  estrategia IAMI.       Listados de asistencia.                                     Seguimiento  a la implementacion  de la estrategia IAMI. </t>
  </si>
  <si>
    <t>Con las actividades que se evidencian para lograr impactar a la población objetivo, estas se enfocan en las personas responsables de los menores de 5 años como sus padres y cuidadores; motivo por el cual las capacitaciones realizadas y los implementos entregados en las UROC-UAIRAC se realizan en personas adultas para que estos busquen mejorar en los cuidados de los niños y niñas menores de 5 años de nuestro municipio.</t>
  </si>
  <si>
    <t>La tasa de mortalidad infantil en menores de 5 años, en el cuatrienio fue de 19,45 muertes por 10,000 menores de 5 años;        La tasa de mortalidad de todos los niños menores de 5 años puede usarse para reflejar tanto las tasas de mortalidad infantil como de la niñez. Esto tiene ciertas ventajas. El uso de solo la tasa de mortalidad infantil puede distraer la atención de una elevada tasa de mortalidad entre niños mayores. 
En países con condiciones de salud muy pobres, la tasa es mayor de 100. En países altamente desarrollados es de 2. Una tasa de la niñez elevada refleja condiciones perinatales no saludables para las madres y los efectos de factores ambientales adversos en los primeros años de la niñez.</t>
  </si>
  <si>
    <t>Entre los avances del municipio de Palmira, es  contar con un diagnostico nutricional de la población menor de 5 años al año 2012. en donde se muestran cumplimientos importantes a las metas de desarrollo del milenio como son:      Para Colombia entre los ODM una de las prioridades es Erradicar la pobreza y el hambre.</t>
  </si>
  <si>
    <t>En cuento a los menores de 5 años se busca reducir de 10% a 3% los niños, niñas menores de 5 años con peso inferior al normal.          
 Con respecto a la talla para la edad “Desnutrición Crónica” los ODM plantean para el 2015 una prevalencia del 8%; Colombia para el año 2010 presentaba una prevalencia del 13.2%, el municipio de Palmira con base en el diagnostico nutricional tiene una prevalencia de 6% para el año
2012, estando dos (2) puntos por debajo de los ODM.</t>
  </si>
  <si>
    <t>La enfermedad diarreica aguda (EDA) constituye uno de los principales problemas de salud pública en el mundo entero, especialmente en los países en desarrollo, debido a las altas tasas de
morbilidad y mortalidad que se presentan en la población infantil, especialmente en niños menores
de cinco años.</t>
  </si>
  <si>
    <t>Actas de entrega de  las UROC-UAIRAC, capacitación a madres comunitarias y madres FAMI sobre la estrategia AIEPI comunitario que consiste en el seguimiento de enfermedades prevalentes de la infancia en la comunidad a través de los agentes y lideres comunitarios.      También se destaca que los casos de diarrea disminuyeron en 660 casos, se resalta aquí el aumento de la cobertura de la vacuna rotavirus la cual es la causante del 80% de las EDAS en el mundo.</t>
  </si>
  <si>
    <t xml:space="preserve">El programa de atención integrada a las enfermedades prevalentes de la infancia (AIEPI) constituye una estrategia costo-beneficio que abarca, a través de su enfoque integral, el 14% de la carga global de enfermedad en los menores de cinco años y cuyos componentes incluyen el manejo de la enfermedad diarreica aguda (EDA), de la desnutrición y la anemia, así como de otros problemas de salud.  Para el año 2013 en el Plan de Intervenciones Colectivas PIC de la secretaria de salud ejecutará mediante estrategia de APS por los profesionales y forjadores realizar jornadas de Sensibilización en cada ESE donde se reúne en dos turnos al personal administrativo y de apoyo y se socializa con la estrategia y las 16 prácticas clave de AIEPI. </t>
  </si>
  <si>
    <r>
      <t xml:space="preserve">La importancia de implementar la estrategia de la lactancia materna en las instituciones de salud de nuestro municipio es por que esta impacta positivamente a los niños recien nacidos y se articula de manera coherente con el programa nacional de protección a la infancia del gobierno nacional de </t>
    </r>
    <r>
      <rPr>
        <b/>
        <sz val="11"/>
        <rFont val="Arial"/>
        <family val="2"/>
      </rPr>
      <t>CERO A SIEMPRE.</t>
    </r>
  </si>
  <si>
    <t>En el Municipio de Palmira se llevó a cabo la Celebraciòn del dia mundial de la lactancia materna en donde participar las instituciones de salud de nuestro municipio, ICBF y otras instituciones que son importantes para la implementación de la estrategia.                Al igual que se capacitó a 1,600 mujeres en edad fertil en la importancia de la estrategia mediante el convenio entre la ESE y la SPS</t>
  </si>
  <si>
    <t xml:space="preserve">La importancia de la lactancia materna es que mediante la adopción de está, logramos proteger a los bebés de gripas, neumonía, diarrea, otitis, meningitis, síndrome de muerte súbita, asma, alergias, desnutrición, sobrepeso y diabetes, así como otras enfermedades que se pueden presentar durante la etapa de crecimiento del niño y en su edad adulta.
 </t>
  </si>
  <si>
    <t>El objetivo de las campañas de detección temprana de VIH es informar o dar a conocer a la comunidad los diferentes factores de riesgo y los mecanismos para prevenir enfermedades de transmisión sexual.</t>
  </si>
  <si>
    <t xml:space="preserve">Un indicador importante con el cual medimos los casos nuevos notficados por la red de salud del municipio son los datos del sistema de vigilancia en salud pública SIVIGILA, del cual tenemos que para el año 2011 se notificaron 84 casos nuevos, mientras que para el año 2012 la notificación fue de 68 casos nuevos, una reducción del 20%.                                                Como evidencia del trabajo realizado con la comunidad sobre la detecion temprana de VIH se tienen los registros del convenio interistitucional entre las ESE del municipio y la secertaria de protección en salud, al igual que la entrega de plegables, volantes, prorama radial. </t>
  </si>
  <si>
    <t xml:space="preserve">Cabe destacar que Palmira fue seleccionado como mejor experiencia exitosa a nivel nacional y del Valle por parte del Ministerio de Salud y fue seleccionado entre los cinco municipios priorizados en el Valle para el trabajo preventivo y articulación de acciones que van encaminadas a la reducción de la transmisión de las enfermedades de transmisión sexual, entre las que se encuentra el VIH / SIDA.     Las actividades que se realizaron en conjunto con el FONDO MUNDIAL fueron campañas, brigadas, talleres educativos y sensibilización frente a la prueba voluntaria de VIH / SIDA.                                  También se conto con la visita del mecanismo coordinador país y funcionarios del ministerio de salud.                       El trabajo de IVC se realizó a través de la interventoria del convenio con la ESE HROB. </t>
  </si>
  <si>
    <t>El objetivo principal es reducir los casos de VIH / SIDA y detectar las personas que conviven con el virus para mejorar su estilo de vida.</t>
  </si>
  <si>
    <t>El objetivo era realizar censo de las trabajadoras sexuales, realizar actividades de prevenciòn y diagnostico de VIH/SIDA en la poblaciòn objetivo.                 Se debe realizar censo de las trabajadoras sexuales, realizar actividades de prevenciòn y diagnostico de VIH/SIDA en la poblaciòn objetivo. Se debe realizar actividad minimo a 200 personas. Se debe entregar registro.           Capacitación en uso adecuado del condón y entrega de preservativos.    Diseñar, reproducir y entregar plegable sobre la prevención del VIH/SIDA Plegable   Volantes    Programa Radial   Programa de televisiòn</t>
  </si>
  <si>
    <t>El municipio de Palmira con el acompañamiento del Fondo Mundial quienes son los encargados de ejecuttar a nivel nacional las acciones encaminadas a reducir la transmisión de ITS y al mismo tiempo trabajar en la comunidad especifica la sensibilización del estigma y discriminación de la cual esta población es objeto por parte de la sociedad.                                 Al igual se trabajo en el tema de la prevensión y la capacitación en derechos y deberes que ellos tienen y taller de estilos de vida para la superación personal.                                  Igualmente el trabajo de IVC se realizó a través de la interventoria del convenio con la ESE HROB</t>
  </si>
  <si>
    <t>Lograr la afiliación de la población pobre y vulnerable de Palmira al Sistema General de Seguridad Social en Salud (SGSSS), Por medio del  régimen subsidiado en salud como su vía de acceso efectiva al ejercicio del derecho fundamental de la salud. El régimen subsidiado es el mecanismo mediante el cual la población más pobre del país, sin capacidad de pago, tiene acceso a los servicios de salud a través de un subsidio que ofrece el Estado. De igual forma promover que los empresarios y las personas con capacidad de pago se afilien al regimen contributivo.</t>
  </si>
  <si>
    <t>La lìnea base de atenciòn de poblaciòn pobre no asegurada era de 16,177 al 1 de enero de 2012, logramos afiliar a 8,952 pobres y vulnerables al regimen subsidiado, quedando pendiente por afiliar en la vigencia 2013 a 7,225. En el regimen contributivo  la linea base al 1 de enero de 2012 era de 175,780 y al 31 de diciembre de 2012 se tiene una afiliacion  de 177,523, logrando un porcentaje de  cobertura del 100%, ya que pasamos con un 98% de aseguramiento sobre el total de la poblaciòn de Palmira.</t>
  </si>
  <si>
    <t>Trabajaremos con la estrategia de campañas de afiliaciòn  tanto al regimen contributivo como subsidiado, para completar el aseguramiento universal. Por otra parte intensificaremos la campaña de afiliaciòn al regimen contributivo en las empresa y personas con poder adquisitivo. Continuaremos un trabajo estrategico con la oficina del SISBEN en el tema de depuraciòn de base de datos y masificaciòn de las encuestas del Sisben.</t>
  </si>
  <si>
    <t>La promociòn de la afiliaciòn al  sistema general de seguridad social en salud, nos permite cumplir con el aseguramiento uiversal, para que todos los ciudadanos gocen  del  acceso a los servicios de salud a través de un subsidio que ofrece el Estado por el regimen subsidiado y en caso de ser empleados o tner capacidad de pago estasr afiliados al regimen contributivo.</t>
  </si>
  <si>
    <t>Visitas a las empresas con el fin de masificar y fomentar la importancia de tener a los empleados asegurados en el SGSSS del regimen contributivo. Por otra parte de socializaco con las EPS- RS, el tema de realziar trabajo extramural de afiliaciòn al regimen subsidiado para personas pobres y vulnerables y otros grupos del listado censal, para garantizar  acceso a los servicios de salud.</t>
  </si>
  <si>
    <t xml:space="preserve">Trabajaremos con la estrategia de campañas de afiliaciòn  tanto al regimen contributivo como subsidiado, para completar el aseguramiento universal. Por otra parte intensificaremos la campaña de afiliaciòn al regimen contributivo en las empresa y personas con poder adquisitivo. </t>
  </si>
  <si>
    <t>La Auditoría para el Mejoramiento de la Calidad de la Atención en Salud, es uno de los cuatro componentes del Sistema Obligatorio de Garantía de Calidad, y se define como el mecanismo sistemático y continuo de evaluación y mejoramiento de la calidad observada con respecto de la calidad esperada de la atención de salud que reciben los usuarios. El Programa de Auditoría para el Mejoramiento de la Calidad de la Atención en Salud – PAMEC – es la forma a través de la cual la institución implementa este componente.</t>
  </si>
  <si>
    <t>Se realizaron dos auditorias externas y una interna a las EAPB, tanto del regimen subsidiado como del regimen contributivo, con el fin de verificar la calidad en la prestaciòn de servicios de slalud, dejando los informes y palnes de mejora como evidencia de dicha actividad de IVC.</t>
  </si>
  <si>
    <t>Fortalecr el proceso de auditoria para cada una de las EAPB, que operran en el Municipio de Plamira y verificando la calidad en la prestaciòn de servicos de  salud de la red prestadora, para garantizar calidad, oportunidad, eficiencia, eficacio y humanizaciòn en la prestaciòn del servicio.</t>
  </si>
  <si>
    <t>Las entidades deben contar con una politica  y proceso gerenciasl del ambiente fisico que contemple  los recursos fisicos, el mantenimiento de la seguridad y la preparaciòn para emergencias y desastres. Por tal motivo debe llevar a cabo su plan bienal y asi presentar diagnostico de la situaciòn de la entidad, presentar proyecto de mejoramiento y gestionar los recursos necesarios para ser un hospital seguro y amigo del medio ambiente. Lo anterior, con el fin de garantizar la infraestructura para la prestaciòn del servicio, proporcionando estrategias para el mejorameinto continuo.</t>
  </si>
  <si>
    <t>Se presento proyecto de infraestrucua del HSVP ante   el Ministerio de Salud y Protecciòn Social , pasando por la aprobanciòn del Plan Bienal del Departamento, para traer recursos importante, siendo aprobado y  logrnado el giro de los recuross para la primera fase. Se realizaron los diseños del centro Hospital de la comuna No. 1 y  para Ciudad del Campo como primera fase de gestiòn con el sector privado y recursosd el sector publico.</t>
  </si>
  <si>
    <t>Presentar proyectos de infraestructura para los puestos de slaud y centros hopsitales del HROB, ante el ente departamental y nacional ya si gestionar recursos para adelantar dichas obras de mjeormaiento opara la prestaciòn de servicos de slua en lugares optimos.  Lo anterior, con el fin de dar cumplimiento a los compromosis suscritos en el presupuesto participativo en la zona urbana y rural de Palmira. Gestionar recursos publicos y privados para adelantar las obras.</t>
  </si>
  <si>
    <t xml:space="preserve">Los municipios darán prioridad en su asignación de recursos de inversión para la salud al fortalecimiento del sistema de centros y puestos de salud, de forma tal que se fortalezca la dotación básica de equipo y de personal que defina el Ministerio de Salud&lt;1&gt; y amplíe, progresivamente y de acuerdo con la demanda, sus horarios de atención al público, hasta llegar a tener disponibilidad las 24 horas de Centros de Salud bien dotados. </t>
  </si>
  <si>
    <t>Se presento proyecto ante la Embajada de Japòn y se recibieron equipos en el HROB, que eprmiten mejorar la prestaciòn del servicio de salud. Por otra parte se presento proyecto de dotaciòn para el HSVP ante el Ministerio de Salud y Protecciòn Social , pasando por la aprobanciòn del Plan Bienal del Departamento, para traer recursos importante y permitir asi dotar de equipos de alta tecnologia al centro asistencial y mejorar la oferta de servicos de salud.</t>
  </si>
  <si>
    <t>Presentar proyectos de dotaciòn para el HROB ante el Ministerio de Salud y protecciòn Social , ante el SGR y ademas presentar un proyecto de dotaciòn de tres ambulancias medicalizadas que mejoren el tema de transporte de pacientes y evitar asi tener riesgos con la vida de los usuarios del sistema de salud en Palmira.</t>
  </si>
  <si>
    <t xml:space="preserve">Esta atención no solamente se refiere a la oferta de servicios que satisfagan al usuario sino, a hacerlo sentir, parte importante de la entidad brindándole la oportunidad de opinar y participar en el control de la calidad de los servicios. De ahí la importancia de que exista en las entidades de salud una instancia que se ocupe exclusivamente de atender cualquier solicitud de los usuarios. Es por ello que el Decreto sobre las formas de participación (1757 de 1994) en uno de sus capítulos, menciona la necesidad de implementar en  entes territoriales el servicio de atención a la comunidad, (SAC).
</t>
  </si>
  <si>
    <t xml:space="preserve">Se fortalecio el SAC de la SPS, apoyado por el punto SAC donde se tienen 8 funcionarios atendiendo de forma exclusiva a los usuarios del sisetma de salud, con bases de datos, atenciòn en lìnea, atenciòn vìa telefonica y consulta de paginas web.
Registro de atenciòn en el SAC de la SPS a 2,227 usuarios, de los cuales 525 interpusieron quejas por prestaciòn de servicios de salud , insatisfaccion con las EPS, se tienen actas de visita de  300 aperturas apertura buzon, 18 actas de visita IVC a las EPS -RC y  EPS- RS, 3 actas de visita de IVC al HROB y HSVP, 20 actas de reuniòn con  Asousuarios, 4 actas de CTSSS, 12 actas de reuniòn con el COPACO, 2 actas de Red de Controladores en Salud, 6 actas de reuniòn con los Veedores en Salud, 10  actas para cumplimiento de los Autos de la Corte para la atenciòn a la polaciòn victima de la violencia y el conflicto armado de acuerdo a la Ley 1448 de 2012, inlcuido evento con las EPS-RC y EPS-RS para la implementaciòn  del isntrumento SIGA  de atenciòn en salud a las victimas, 4 actas de reuniòn para atenciòn a la poblaciòn desmovilizada de los grupos al margen de la Ley y actores del Minjusticia, 12 comites de Aseguramiento y 12 comites de Regimen contributivo. </t>
  </si>
  <si>
    <t>Para la vigencia 2013 debemos fortalecer el proceso de Veedurìa en salud apoyados con los organso de control, para el seguimiento a la contratacion, mejorar la red prestadora de servicios para que cumpla con el SOGCS, de igual forma fortalecer la IVC a las EPS-RC y EPS- RS para que cumplan con una red prestadora de servicios, Vigilar que las EPS mejoren  la calidad en la prestaciòn de servicios de salud, incluyendo que se tenga casillas preferenciales, oportunidad en la citas, Fortalecer las alianzas comunitarias para fortalecer el nuevo modelo de slaud, Descentralziar el servicio de atenciòn a la comunidad a traves del SAC Virtual en la zona urbana y zona rural apoyados con el HROB en sus puesto de salud, aplicar que se realice el Registro civil de nacimiento en la ESE Municipal con apoyo de la Registradurìa Municipal, masificar el trato digno al usuario  de la salud y al persona que trabaja al interior de la red publica, por medio de la estrategia de Humanizando Ando, Presentar la Politica de Participaciòn Social en Salud, Masificar el manual de protecciòn al usuario de la salud reorientando los derechos y deberes de los usuarios de la salud y reorientando la prestaciòn de servicos de salud. Capacitar a las personas que seran las encaragas del SAC virtual que apoyaran a al comunidad a solicitar sus servicos via web antes las EPS y las IPS y la SPS.</t>
  </si>
  <si>
    <t>Este novedoso   servicio en  Palmira permite reducir las barreras de acceso que se presentan a la población más pobre y vulnerable a la hora de hacer uso delos servicios médicos y responder a la nueva normatividad en materia de salud que busca optimizar el servicio a los usuarios sobre sus  trámites para el acceso a la salud y que tiene como objetivo fundamental  que  las instituciones prestadoras de servicio de salud  y la entidades promotoras de salud  realicen todos los procesos administrativos necesarios para la atención de los usuarios, sin que se le traslade ningún trámite al paciente o a su acudiente.</t>
  </si>
  <si>
    <t>El call center atendio 5,687 usuarios , de los cuales casos cerrados fueron 2,725 y el restante eran llamadas que no tuvieon retorno por fallas de los usuarios. Este proceso termino con las largas filas y madrugadas en el HSVP de los usuarios del centro asistencial.</t>
  </si>
  <si>
    <t>Continuar con la implementacion en las  dos eses municipales y sps,, para garantizar oportuidad en la asignaciòn de citas con medico general y especialista.</t>
  </si>
  <si>
    <t>La participación ciudadana es el proceso mediante el cual se involucra a los diferentes actores sociales en forma individual y colectiva, con la finalidad de incidir y participar en la toma de decisiones y gestión de politicas públicas en todos los niveles territoriales e institucionales para lograr el desarrollo humano y garantizar que los derechos de los ciudadanos sean respetados por las instituciones que pertenecen al sistema general de seguridad social en salud SGSSS</t>
  </si>
  <si>
    <t>Actas y registros de asistencia  de reuniones con 12 organizaciones sociales del sector salud (copaco, CTSSS, covecom, cove, asousuarios, , red de controladores, liga de usuarios, comité de etica, discapacitados, lgtbi,  victimas de la violencia y el conflicto armado, poblaciòn en proceso de reintegraciòn social y economica y  convenios sociales ) - Articulaciòn con red unidos.</t>
  </si>
  <si>
    <t>El compromiso de la secretaria de protección en salud como ente regulador y vigilante de que todos estos espacios funcionen de forma permanete.                  Por medio de la oficina del SAC y la organización de los profesionales de la estrategia APS se fortalecerá la participación ciudadana en cada una de las microzonas del municipio para  incentivar a la comunidad a que pertenezcan a cada una de las organizaciones sociales del municipio</t>
  </si>
  <si>
    <t>PTE</t>
  </si>
  <si>
    <r>
      <t xml:space="preserve">Para la oficina de comunicaciones, prensa  y protocolo es de suma importancia integrar los medios de comunicación con estrategias para cumplir con las metas proyectadas en el plan de desarrollo, por esta razon se formulo un </t>
    </r>
    <r>
      <rPr>
        <b/>
        <sz val="11"/>
        <rFont val="Arial"/>
        <family val="2"/>
      </rPr>
      <t xml:space="preserve">estudio previo llamado DOFA </t>
    </r>
    <r>
      <rPr>
        <sz val="11"/>
        <rFont val="Arial"/>
        <family val="2"/>
      </rPr>
      <t xml:space="preserve">el cual mide las debilidades, oportunidades, fortalezas y amenazas  que tiene la oficina para detectar las falencias y de esta manera buscar la mejor solucion. En el programa de comunicaciones se explica la importancia de la informacion en el crecimiento y desarrollo de la administracion municipal, se integra con los </t>
    </r>
    <r>
      <rPr>
        <b/>
        <sz val="11"/>
        <rFont val="Arial"/>
        <family val="2"/>
      </rPr>
      <t>planes de medios externo e interno</t>
    </r>
    <r>
      <rPr>
        <sz val="11"/>
        <rFont val="Arial"/>
        <family val="2"/>
      </rPr>
      <t xml:space="preserve">  para comunicar cada actividad proyectada y ejecuta por cada una de las secretarias, el plan de medios consiste en buscar los medios adecuados que sean de facil aceptacion por el publico y en donde se informe de una manera eficiente y oportuna, buscando que la ciudadania vuelva a confiar en el sector publico. para esto se realizaron</t>
    </r>
    <r>
      <rPr>
        <b/>
        <sz val="11"/>
        <rFont val="Arial"/>
        <family val="2"/>
      </rPr>
      <t xml:space="preserve"> 26 ruedas de prensa,</t>
    </r>
    <r>
      <rPr>
        <sz val="11"/>
        <rFont val="Arial"/>
        <family val="2"/>
      </rPr>
      <t xml:space="preserve"> que tiene como funcion integrar a los medios en los avances que tiene la administracion para que sean difundidos en los medios locales, regionales y nacionales. se han realizado   </t>
    </r>
    <r>
      <rPr>
        <b/>
        <sz val="11"/>
        <rFont val="Arial"/>
        <family val="2"/>
      </rPr>
      <t xml:space="preserve">250 boletines externos, </t>
    </r>
    <r>
      <rPr>
        <sz val="11"/>
        <rFont val="Arial"/>
        <family val="2"/>
      </rPr>
      <t xml:space="preserve">los cuales  mantienen al dia en informacion a los medios de comunicacion, de igual forma se emplean los medios de </t>
    </r>
    <r>
      <rPr>
        <b/>
        <sz val="11"/>
        <rFont val="Arial"/>
        <family val="2"/>
      </rPr>
      <t>television y radio</t>
    </r>
    <r>
      <rPr>
        <sz val="11"/>
        <rFont val="Arial"/>
        <family val="2"/>
      </rPr>
      <t xml:space="preserve"> emitiando a diario por medio de los diferentes programas las actividades programadas para esto ,se indago acerca de las emisoras mas reconocidas en palmira entre las cuales se encuentran </t>
    </r>
    <r>
      <rPr>
        <b/>
        <sz val="11"/>
        <rFont val="Arial"/>
        <family val="2"/>
      </rPr>
      <t xml:space="preserve"> radio palmira, palmira stereo y radio luna, </t>
    </r>
    <r>
      <rPr>
        <sz val="11"/>
        <rFont val="Arial"/>
        <family val="2"/>
      </rPr>
      <t>para llegar a lo planteado en los planes de medios se realizaron las contrataciones correspondientes en radio, prensa y television  que sumadas dan</t>
    </r>
    <r>
      <rPr>
        <b/>
        <sz val="11"/>
        <rFont val="Arial"/>
        <family val="2"/>
      </rPr>
      <t xml:space="preserve"> 75.</t>
    </r>
    <r>
      <rPr>
        <sz val="11"/>
        <rFont val="Arial"/>
        <family val="2"/>
      </rPr>
      <t xml:space="preserve">  es necesario integrar las nuevas tecnologias como parte fundamental del crecimiento de la informacion en la sociedad por esta razon, la administracion le apuesta a mantener actualizada su pagina web, como tambien sus cuentas en las redes sociales, esto con el fin de utilizar todos los medios con los que la ciudadania interactua. entre las estadistica se puede evidenciar que la </t>
    </r>
    <r>
      <rPr>
        <b/>
        <sz val="11"/>
        <rFont val="Arial"/>
        <family val="2"/>
      </rPr>
      <t>pagina web</t>
    </r>
    <r>
      <rPr>
        <sz val="11"/>
        <rFont val="Arial"/>
        <family val="2"/>
      </rPr>
      <t xml:space="preserve"> de la administracion</t>
    </r>
    <r>
      <rPr>
        <b/>
        <sz val="11"/>
        <rFont val="Arial"/>
        <family val="2"/>
      </rPr>
      <t xml:space="preserve"> en el año 2012 presento 75667 visitas.</t>
    </r>
    <r>
      <rPr>
        <sz val="11"/>
        <rFont val="Arial"/>
        <family val="2"/>
      </rPr>
      <t xml:space="preserve"> mientras en las redes sociales  se interactuo con el publico </t>
    </r>
    <r>
      <rPr>
        <b/>
        <sz val="11"/>
        <rFont val="Arial"/>
        <family val="2"/>
      </rPr>
      <t xml:space="preserve">345 veces. </t>
    </r>
    <r>
      <rPr>
        <sz val="11"/>
        <rFont val="Arial"/>
        <family val="2"/>
      </rPr>
      <t>la poblacion beneficiada con los proyectos que realiza la oficina de comunicaciones  son , la comunidad palmirana y la administracion municipal , debido a que los proyectos se basan en crear estrategias para mantener oportuna la informacion para los diferentes publicos, cabe resaltar que en el año 2012 el impacto de la oficina de comunicaciones cumplio con las expectativas programadas ya que se iniciaron los proyectos con los que se llegara a la meta .</t>
    </r>
  </si>
  <si>
    <t xml:space="preserve">Programa de comunicaciones, plan de medios externos,archivo de Boletines de prensa,Programas televisivos y Radiales grabados en cd. </t>
  </si>
  <si>
    <r>
      <t xml:space="preserve">En la parte de comunicación interna se realizo  el manual corporativo, que tiene como fin llegar a crear identidad corporativa en la administracion municipal, se realizaron </t>
    </r>
    <r>
      <rPr>
        <b/>
        <sz val="11"/>
        <rFont val="Arial"/>
        <family val="2"/>
      </rPr>
      <t>19 socializaciones</t>
    </r>
    <r>
      <rPr>
        <sz val="11"/>
        <rFont val="Arial"/>
        <family val="2"/>
      </rPr>
      <t xml:space="preserve"> sobre comunicacion organizacional en donde se explica en que consiste la comunicacion organizacional  y  como se debe manejar la imagen corporativa en cada una de las actividades, esto como parte fundamental de la credibilidad del trabajo ante la ciudadania.  se desarrollaron </t>
    </r>
    <r>
      <rPr>
        <b/>
        <sz val="11"/>
        <rFont val="Arial"/>
        <family val="2"/>
      </rPr>
      <t xml:space="preserve">  15  boletines </t>
    </r>
    <r>
      <rPr>
        <sz val="11"/>
        <rFont val="Arial"/>
        <family val="2"/>
      </rPr>
      <t>internos  (web), enviados a los correos institucionales para mantener la informacion oportuna en cada secretaria y con los respectivos funcionarios, se utilizaron   200 carpetas institucionales con  el logotipo de la administracion para crear asi una buena imagen en todos los eventos eventos sociales de la administracion.  para el 2013 se pondra en marcha las otras actividades que integran la comunicacion organizacional en el crecimiento y desarrollo de la administracion municipal. la oficina de comunicaciones presento apoyo permanente en el proceso de sistema de gestion de calidad,constituyendo el manual de comunicaciones.</t>
    </r>
  </si>
  <si>
    <t>Programa de comunicaciones, plan de medios interno,archivo boletines internos (web), Manual corporativo impreso, carpetas institucioanles impresas, material grafico impreso.</t>
  </si>
  <si>
    <t>Número de campañas de cultura tributaria realizadas.</t>
  </si>
  <si>
    <t>11. Se otorgaron subsidios a 415 viviendas gratuitas por valor unitario de 4 salarios minimos legales vigentes, incluyendo el lote aportado por el municipio. 2. Se otorgo cierre financiero a cinco (5) familias  desplazados por valor de $5.000.000 cada uno. 3. Igualmente se gestiono para la entrega de otro lote  Y construir 481 vivienda gratuitas adicionales a traves de la caja de compensacion familiar.</t>
  </si>
  <si>
    <t xml:space="preserve">Convenio suscrito entre Fonvivienda y Municipio de Palmira, como testigo Ministerio de Vivienda , Ciudad y Territorio - Resoluciones de adjudicación </t>
  </si>
  <si>
    <t xml:space="preserve"> Adicional por: 1. gestion logramos otorgar 211 subsidios de vivienda urbanos  2.  mediante  participacion en Convocatoria  del Banco Agrario salieron favorecidas 39 familias para vivienda nueva rural el municipio aporto el 20% proceso de cofinanciacion. 3. Se gestiono la contruccion de vivienda rural, para las familias afectadas por ola invernal por un total de 72. Tanto el punto 2 Ccomo 3 seran entregadas en el 2013. </t>
  </si>
  <si>
    <t>Participamos en laconvocatoria del Gobierno Nacional, Banco Agrario radicando 2 proyectos para mejoarmiento de vivienda rural. (No fueron aprobados).</t>
  </si>
  <si>
    <t>Apoyo jurídico para la titulación de predios; Avaluos de dos inmuebles en el barrio Alfonso Lopez II Etapa y Los Coches</t>
  </si>
  <si>
    <t xml:space="preserve"> Contratos de Consultoría: MP-614-2012, MP-620-2012, MP-768-2012</t>
  </si>
  <si>
    <t>Se realizaron 128 titulaciones de predios discriminados asi: 40 en Condominio Nashira, 68 en urbanización Río Nima, 10 en el Barrío Olimpico, 7 en Luis Carlos Galan, 3 en Barrio Sesquicentenario</t>
  </si>
  <si>
    <t>Se radicó el perfil del Proyecto de Mejoramiento Integral para el Barrio Loreto ante el Ministerio de Vivienda, Ciudad y Territorio. En espera del 2013, realizar la gestion pertienente para concretar dicho aporte.</t>
  </si>
  <si>
    <t>Se gestiono, la adquision de vivienda gratuita con el gobierno nacional, donde la poblacion sera familias vulnerables (desplazadas y red unidos), En dos lotes uno del  Municipio de Palmira por 415 vivienda y otro de la caja de compensacion familiar por 481 viviendas y se espera hacer la entrega en el  2013.</t>
  </si>
  <si>
    <t>Se establecieron los lineamientos para la formualcion de planes de manejo de 6 predios comprados mediante el Art. 111 de la Ley 99 de 1993</t>
  </si>
  <si>
    <t>Contrato de servicio y apoyo a la gestión MP-123-2012</t>
  </si>
  <si>
    <t>Este contrato fue suscrito el 08/03/2012, antes de la aprobacion del PDM que nos aportara para el cumplimiento de la meta en el 2013</t>
  </si>
  <si>
    <t>Se trabajaron procesos de: actualización del PGIRS, manejo de escombros  y reconversión de vehiculos de tracción animal</t>
  </si>
  <si>
    <t>Contratos de prestación de servicios y sus respectivos adicionales: MP-51-2012, MP-65-2012 y MP-69-2012</t>
  </si>
  <si>
    <t>Estos contratos se suscribieron en el mes febrero, anterior a la aprobacion del PDM, que nos aportara para el cumplimiento de la meta en el 2013</t>
  </si>
  <si>
    <t xml:space="preserve">Se realizaron actividades de: 1. Mantenimiento fitosanitario de especies del sistema arboreo en el area urbana ( 295 talas y 729 podas de arboles) 2. Mantenimiento de zonas verdes en el área urbana (2.010.000 m2 de zonas verdes realizando 5 cortes) y rural  (591.312 m2 con tres cortes) del municipio, incluyendo parques y polideportivos,  5. Parques, polideportivos y Zonas protectoras de vías en la zona rural 6. Iluminación del parque del soldado 7. Proyectos de recuperación paisajística; 8.Diseño arquitectónico, electrico e hidrosanitario el Parque Biosaludable (Bosque Municipal). </t>
  </si>
  <si>
    <t>Convenio MP-127-2012; Contratos de prestación de servicios: MP-194-2012, MP-391-2012,  MP-392-2012,   MP-395-2012,  MP-440-2012,  MP-443-2012,  MP-485-2012,   MP-491-2012,  MP-580-2012,  MP-655-2012,   MP-672-2012; Contrato de consultoria MP-688-2012</t>
  </si>
  <si>
    <t>El sistema para el  mantenimiento integral de zonas verdes y sistema arboreo requiere de la ejecucion de actividades anuales, motivo por el cual se realizo la contratacion de las mismas</t>
  </si>
  <si>
    <t>Elaboración de material publicitario para el tema de escombros (Señales y vallas)</t>
  </si>
  <si>
    <t xml:space="preserve"> Contrato de Suministro MP-342-2012</t>
  </si>
  <si>
    <t>Estos contratos se suscribieron en el mes de mayo, anterior a la aprobacion del PDM, pero permitio contribuir a la cultura ciudadana ambiental en relacion a la disposicion inadecuada de escombros</t>
  </si>
  <si>
    <t>Atención a 53 acueductos rurales mediante fontaneros, asistencia técnica y administrativa y apoyo jurídico</t>
  </si>
  <si>
    <t>Contratos de Prestación de servicios: MP-390-2012, MP-427-2012, MP-430-2012, MP-432-2012, MP-433-2012, MP-439-2012,  MP-481-2012, MP-483-2012; Contrato de servicio y apoyo a la gestión MP-361-2012</t>
  </si>
  <si>
    <t>Se visitaron todos los 53 acueduectos, se realizo un diagnostico. El ejercicio de presupuesto participativo permitio ser la base para implementar una estregia frente al apoyo de estos del 2013 al 2015.</t>
  </si>
  <si>
    <t>Revisión, reparación y adecuación de bombas; Suministro de bombas dosificadoras; Mantemiento de sistemas de abastecimiento; instalacion de conduccion de acueducto para los corregimientos de guanabanal, palmaseca, bolo la italia y tienda nueva.</t>
  </si>
  <si>
    <t>Contratos de prestación de servicios: MP-53-2012,  MP-55-2012, MP-435-2012, MP-534-2012; Compraventa: MP-57-2012, MP-512-2012, MP-705-2012; Contrato Suministro: MP-363-2012, MP-93-2012</t>
  </si>
  <si>
    <t>Para la conduccion de acueducto se trabajo sobre el Convenio 191 de 2010, Convenio PAAR 0108, Convenio 028 de 2012, Convenio 045 de 2012</t>
  </si>
  <si>
    <t>Se realiza el pago de subsidios para servicios de acueducto, alcantarillado y aseo que beneficia a los estratos 1 y 2 de la zona urbana y rural del municipio</t>
  </si>
  <si>
    <t>Resoluciones de gasto</t>
  </si>
  <si>
    <t>En espera de adquisicion del lote para contruir la Ptar ha sido solicitado a CISA central de inversiones S.A., entidad engargada de comercializar los bienes del Estado. En el mes de marzo de 2013 esperamos obtener respuesta de esta entidad frente a la  entrega gratuita del lote, surtido el procedimiento de solicitud por parte de la administracion municipal.</t>
  </si>
  <si>
    <t>Construccion y reposicion de redes de alcantarillado en el corregimiento de barrancas, callejon petrona en el corregimiento La Torres y callejon Duran Quintero en el corregimiento Amaime</t>
  </si>
  <si>
    <t>MP-699-2011, MP-845-2011, MP-846-2011</t>
  </si>
  <si>
    <t xml:space="preserve">Para alcanzar la meta, la Entidad  realizó contratos a través del Portal ünico de Contratación,  para llevar a cabo la instalacion de alumbrado publico en la realizar la electrificación e iluminación del parque ciudad del Campo,  electrificación e iluminación via ppal Caucaseco </t>
  </si>
  <si>
    <t>Contrato Nº 236-2012, Contrato Nº 389-2012</t>
  </si>
  <si>
    <t>El valor ejecutado por iluminación - electrificación y reposisición de luminarias es de $ 102.335.226.                     Por este rubro salio el contrato de alumbrado navideño y su interventoria por valor de $  547.787.284</t>
  </si>
  <si>
    <t xml:space="preserve">el alumbrado publico de la zona verde de Santa Ana,   zona verde del zanjón petruckk, chapinero, las americas, </t>
  </si>
  <si>
    <t>Contrato Nº 279-2012, contrato Nº  814-2012</t>
  </si>
  <si>
    <t>A través de la Secretaria de Educación salió el proyecto para la instalación de energía alternativa  para las escuelas rurales</t>
  </si>
  <si>
    <t>Proceso de selección abreviada Nº MP-SE-S-028-2012</t>
  </si>
  <si>
    <t>Se ejecutó a través de la contratación publica el mantenimiento vial de las vias de la comuna 1, 4 y 6.  Se realizaron contratos de mano de obra para las cuadrillas, compra de herramienta menor, compra de mezcla asfaltica, compra de cemento gris, contratación de ingenieros de apoyo, alquiler de maquinaria, Mto callejón la Torre, La Nevera, La Zapata, Mto via Combia</t>
  </si>
  <si>
    <t>contrato Nº 67-2012, Nº 176-2012, Nº 183-2012, Nº 184-2012, Nº 227-2012, Nº 231-2012,Nº 232-2012, Nº 233-2012, Nº 489-2012, Nº 551-2012, Nº 557-2012, Nº 578-2012, Nº 607-2012, Nº 658-2012, Nº 696-2012, Nº 431-2012, Nº 445-2012</t>
  </si>
  <si>
    <t>Dentro de este rubro esta incluido el mantenimiento de vias sin pavimento en la zona rural</t>
  </si>
  <si>
    <t>El mantenimiento de las vias sin pavimentos en la zona rural se ha  realzado con la maquinaria del Municipio</t>
  </si>
  <si>
    <t>Se realizo el contrato para el estudio diseño y construcción de muro de contencíion sobre la via la Buitrera</t>
  </si>
  <si>
    <t>Contrato Nº 472-2012</t>
  </si>
  <si>
    <t>En el año 2012 se terminaron de ejecutar los pavimentos contratados en el año 2010 con los recursos del créd¡to.  Se incluye la construcción y la interventoria</t>
  </si>
  <si>
    <t>contrato Nº 212 de 2010, contrato Nº 210</t>
  </si>
  <si>
    <t>En este rubro  se incluye la pavimentación de vias urbanas, vias rurales y  puentes.</t>
  </si>
  <si>
    <t xml:space="preserve">Se contrató el suministro de combustible y lubricantes  para  los vehiculos de la secrtearia </t>
  </si>
  <si>
    <t>Contrato Nº 474 de 2012</t>
  </si>
  <si>
    <t>En este rubro esta inluido los andenes de la zona urbana y zona rural</t>
  </si>
  <si>
    <t>En el año 2012 se terminaron de ejecutar los puentes contratados en el año 2010, ubicados en la Pampa, zamorano y Guanabanal</t>
  </si>
  <si>
    <t>contrato Nº 212de 2010  y contrato Nº 210-2010</t>
  </si>
  <si>
    <t>Esta incuido en el rubro de pavimentos vias urbanas</t>
  </si>
  <si>
    <t>En el año 2012 se terminaron de ejecutar lospavimentos rurales contratados en el año 2010</t>
  </si>
  <si>
    <t xml:space="preserve">re realizaron los 34° Juegos Intercolegiados y Escolares pariciparon 52 Instituciones Públicas y Privadas , desde Febrero a Junio con la participacion de  4.200 estudiantes   de zona urbana y rural  en 22 disciplinas deportivas  y cuatro categorias, entregando premiacion en implementación deportiva </t>
  </si>
  <si>
    <t>Registro de participantes y fotográfico</t>
  </si>
  <si>
    <t xml:space="preserve">Los Juego Universitarios no se realizaron por no asignación de recursos </t>
  </si>
  <si>
    <t xml:space="preserve">se realizaron cuatro Festivales Deportivos para niños de 7 a 12 años en las comunas uno, dos,  dos (2) vacaciones recreativas para niñas y niños de la comuna uno, un festival para la comuna cinco , un torneo jovenes de la Quisquina </t>
  </si>
  <si>
    <t>se realizó plan de trabajo, planificacion con entrenadores y proyecciones deportivas, estadisticas y financieras .</t>
  </si>
  <si>
    <t xml:space="preserve">Los juegos estan proyectados en 2013  año en el cual se deben asignar recursos  e intensificar plan de trabajo </t>
  </si>
  <si>
    <t>Palmira participó en el campeonato nacional Sub 19  con el equipo Generaciones Palmiranas, no paso a ronda final</t>
  </si>
  <si>
    <t xml:space="preserve">se realizo por recursus de  gestion  ya que no se </t>
  </si>
  <si>
    <t>se contrataron  25 entrenadores, 30 monitores, tres promotores rural, un asesor tercnico y un coordinador de fomento</t>
  </si>
  <si>
    <t>resgistros  contratos, seguimiento y evaluaciones, informes mensuales</t>
  </si>
  <si>
    <t>Se contrato el personal técnico de entrenadores y monitores  para la realizacion del trabajo de masificacion, entrenamiento y preparacion de deportistas y apoyo a eventos institucionales.</t>
  </si>
  <si>
    <t xml:space="preserve">Se llevo a cabo la maraton Internacion con 8.000 participantes,  dos programas de weekend sport festival, con  11.000 participantes,  30 versiones de Activarte con 12.000 participantes al año de las comunas urbanas 7 y comuras rurales tres,  45 domingos de ciclovia  promedio 600 = 27.000 personas al año,  torneo Sudamericano de Balonmano  6 selecciones internacionales y 4.800 espectadores ,  torneo Nacional Interclubes de  balonmano  200 deportistas y  1.000 aficionados, troeno nacional de futbol femenino  140 deportistas y 2.000 aficionados </t>
  </si>
  <si>
    <t>Se realizaron grandes eventos que proyectaron a Palmira en el ambito nacional e Internacional</t>
  </si>
  <si>
    <t>Se realizo un torneo de futbol sala intercomunas  con 80 equipos de la zona urbana de Palmira  para 800  deportistas  directos</t>
  </si>
  <si>
    <t>Para el 2.013 estan planificados la realizacion de los juegos comunales en varios deportes</t>
  </si>
  <si>
    <t xml:space="preserve">Los juegos Inteveredales estan proyectados para 2.013  y  2.015  </t>
  </si>
  <si>
    <t xml:space="preserve">proyectados 2013 y 2015 </t>
  </si>
  <si>
    <t xml:space="preserve">Se realizaron dos capacitaciones en organización deportiva  y otra en preparacion fisica a entrenadores en diversas disciplinas deportivas </t>
  </si>
  <si>
    <t xml:space="preserve">NO hubo necesidad de recursos  econcomicos, las personas que capacitaron fueron gestionadas con indervalle </t>
  </si>
  <si>
    <t>Se realizo un festival  recreativo en la comuna uno beneficiando a 200 niños, jovenes y adultos en situación de desplazamiento.</t>
  </si>
  <si>
    <t xml:space="preserve">se designaron a  4 monitores  quienes apoyaron  a los deportistas de Boccias, Baloncesto Silla de Ruedas, futbol Sonoro  y sindrome de Dowm , y se incluyeron deportistas en tenis de mesa, Lucha. Para un total de 120 </t>
  </si>
  <si>
    <t xml:space="preserve">Registro de contratos </t>
  </si>
  <si>
    <t>Se contrato a 7 personas integrantes del comité de Investigacion y desarrollo deportivo,  dos profesionales en fisiologia deportiva, un medico, una psicologa,  dos fisioterapeutas, un nutricionista realizando un seguimiento y evaluacion a 850 deportistas de formacion y altos logros.</t>
  </si>
  <si>
    <t>Registro de contratos, registro de evaluaciones, asistencia y registros fotrograficos.</t>
  </si>
  <si>
    <t xml:space="preserve">La población beneficida  total de cada uno de los programas y proyectos  quienes se benefician del buen estado de toa la infraestructura deportiva </t>
  </si>
  <si>
    <t xml:space="preserve">Se ntregó estudio del 100% de los escenarios deportivos  a remodelar y los diseños de siete nuevos escenarios a construir para el 2013 </t>
  </si>
  <si>
    <t xml:space="preserve">Estudios y diseñoes presentados  </t>
  </si>
  <si>
    <t xml:space="preserve">Estos recursos fueron asignados por la administración directamente al consorcio ciudadela </t>
  </si>
  <si>
    <t>SE DESARROLLARON ACCIONES COMO: 1.-ACTIVIDADES DE DIVULGACION DE NORMAS. 2,-ACTUALIZADAS MEDIANTE CORREO ELECTRONICO Y ELABORACION DE CUADRO RESUMEN DE LAS MISMAS, COMO EL NUEVO CODIGO CONTENCIOSO ADMINISTRATIVO - 3.- REALIZACION DE AUDITORIAS A LOS PROCESOS QUE PERMITIERON IDENTIFICAR LA AUSENCIA DE ALGUNOS ELEMENTOS MECI - 4.-SENSIBILIZACION, CAPACITACION Y ELABORACION  DE LOS MAPAS DE RIESGO INSTITUCIONAL Y MAPA DE RIESGOS DE LOS 35 PROCESOS DE LA ENTIDAD TERRITORIAL CON LA PARTICIPACION ACTIVA DE LOS FUNCIONARIOS. 5.-SE REALIZO ACOMPAÑAMIENTO, ASESORIA Y SEGUIMIENTO A LOS PLANES DE MEJORAMIENTO, 6.-ACOMPAÑAMIENTO A LA IMPLEMENTACION DE LA NTCGP -1000:2009. 7.-SE DIO RESPUESTA A TODOS LOS INFORMES REQUERIDOS POR LOS ENTES EXTERNOS.8.-ELABORACION DEL PLAN DE ACCION Y PLAN ANUAL DE AUDITORIAS COMO HERRAMIENTAS DE GESTION DE CONTROL INTERNO. 9,-SE GARANTIZO LA APLICACION DEL PROGRAMA DE INDUCCION Y REINDUCCION.</t>
  </si>
  <si>
    <r>
      <t xml:space="preserve">CONTRATO DE PRESTACION DE SERVICIOS MP-805-2012.                         PLANILLAS DE ASISTENCIA. MEMORIAS FOTOGRAFICAS. OFICIOS DE CONVOCATORIA A LOS SERVIDORES. ACTA DE INICIO DEL PROYECTO. </t>
    </r>
    <r>
      <rPr>
        <b/>
        <sz val="9"/>
        <rFont val="Arial"/>
        <family val="2"/>
      </rPr>
      <t>PRODUCTOS EXIGIDOS AL CONTRATISTA</t>
    </r>
    <r>
      <rPr>
        <sz val="11"/>
        <rFont val="Arial"/>
        <family val="2"/>
      </rPr>
      <t>(DIAGNOSTICO ADMINISTRACION DE RIESGOS-ESTRATEGIAS PARA LA ADMINISTRACION DE RIESGOS-MAPA DE RIESGOS INSTITUCIONAL-POLITICA DE ADMINISTRACION DE RIESGOS-CONTEXTO ESTRATEGICO DE LA ENTIDAD-MATRIZ DE LOS RIESGOS DE PROCESOS CON SU IDENTIFICACION, ANALISIS Y VALORACION)</t>
    </r>
  </si>
  <si>
    <t>1- Se elaboró y se desarrollo el Plan Integral ünico (Piu) - se realizaron actividades por parte de cada una de las Secretarías de la Admon Municipal y las entidades como la Unidad de Víctimas, ICBF , SENA y el Ministerio del Interior. Se resolvieron algunas necesidades insatisfechas de las víctimas generando Bienestar social a 1.881 personas, se logró la integración de los núcleos familiares, con la admon Mpal, asi como tambien se fortalecieron los procesos organizativos y participativos de las víctimas.</t>
  </si>
  <si>
    <t>1- El documento que contiene la información del PIU - Informes escritos y fotográficos,  actas de asistencia de las víctimas, constancias de las ayudas humanitarias, Constancias de los talleres y las reuniones del comité Territorial de Justicia Transicional</t>
  </si>
  <si>
    <t>1-Un  documento  de  plan  integral  de seguridad y convivencia construido articuladamente con toda la institucionalidad municipal, departamental y nacional,  con el apoyo de la alta consejería para la Seguridad y la Convivencia. 
2- Ocho ( 8) delitos identificados priorizados por el Plan integral ( Homicidios, Hurtos a personas, Hurtos a motocicletas,  Extorsión, Microtráfico, Lesiones interpersonales, Muertes en accidentes de tránsito, Violencia intrafamiliar).
3-el plan integral priorizó los siguientes barrios para la intervención: Zamorano, Emilia, Trinidad, Centro, Delicias, San Pedro, Colombia y El Sembrador .
4- 1 Plan integral fue probado por el comité de orden público el 20 de diciembre de 2012</t>
  </si>
  <si>
    <t>Se cuenta con el diagnóstico de la problemática y el documento que contiene el Plan y el Acta del Comité de orden público donde se aprobó el Plan Integral de Seguridad y Convivencia Ciudadana</t>
  </si>
  <si>
    <t>Se contó con la participación de todas las autoridades del municipio y de acuerdo con la delegada de la alta consejería para la seguridad y convivencia, fue junto con Cali los 2 municipios que presentaron un avance positivo en la construcción y aprobación del plan integral.
Se presentó en campo al alto consejero para la seguridad y convivencia el desarrollo del proyecto del manual de convivencia que se llevó a cabo con los estudiantes del Raffo Rivera. Esto hacer parte del proceso de formacion de los 60 patrullero escolares, los cuales cuentan con su respectiva dotacion y su mision es regular el transito a la entrada y salida de estudiantes, asi como ayudar a mejorar la seguridad interna del colegio.</t>
  </si>
  <si>
    <t>Informe del año 2012  presentdo por los directivos de la Casa de Justicia.</t>
  </si>
  <si>
    <t>1- A través del observatorio de Seguridad y Convivencia Ciuddana, se avanzó en la socilizacion del manual de convivencia en 2012, 
2- Se entragaron cerca de 4.500 cartillas del manual de convivencia a estudiantes, docentes y comunidad en general.
3- Entrega de 6.000 folletos de rutas impresas de violencia intrafamiliar y abuso sexual a la comunidad Palmirana.
4- -2.940  ciudadanos,  entre  estudiantes  del  sector  urbano  y  rural,  docentes, directivos  docente,  profesionales  del  área  psicosocial,  de  la  salud  y  la 
educación, líderes comunales y autoridades, fueron sensibilizados en Temas: familia, movilidad/espacio público, seguridad/relaciones de vecindad .                                                   5 -  A 450 jóvenes del  proyecto de Clubes  juveniles se les capacito en  temas de convivencia, como el respecto por la diferencia y en la fundamentacón en valores y principios de las personas. Dentro de los convenios mesa Nación Región ante petición del Señor Alcalde y de la Secretaria de Gobierno, con el Ministerio de Justicia y del Derecho se logró que el municipio de palmira fuera incluido en el Plan Cerrojo para la prevención y control de la extorsión generada desde los establecimientos de reclusión IMPEC</t>
  </si>
  <si>
    <t>Convenio Mp-536 de 2012 - En el observatorio de seguridad  se elaborarón los volantes para la prevención de accidnetes viales y para  mejorar la conviv encia  cidudana y el informe del contrato Mp- 160 de 2012</t>
  </si>
  <si>
    <t>Se realizó el censo de todas las motocicletas entregadas en comodato con registro fotográfico y se les coloca a las motocicletas el logo del municipio.</t>
  </si>
  <si>
    <t>Se cuenta con 21 cuadrantes de 15 que se contaban en el 2011,  a los cuales se les dotó  de 52 Motocilcetas, dos (2) Vehículos tipo Panel,   para la operatividad, igualmnete se les  suministró el combustible y lubricantes requeridos, así como  el mantenimiento de las motocicletas Se les entregó para el mejoramiento de las comunicaciones 21 teléfonos celulares. Del mismo, modo se doto a la policia militar de 10 motocicletas para e patrullaje y mejora de la seguridad urbana y rural, entrega de una lleve Link, tres carpas móviles</t>
  </si>
  <si>
    <t>Contrato MP-195, MP-226, MP-158, MP-543, MP-744, MP-745</t>
  </si>
  <si>
    <t>Se donó el lote para la sede de medicina Legal ,  de igual forma por medio del Concejo Municipal a través del Acuerdo No. 015 del 16 de Agosto del 2012 se amplió el plazo por tres  (3) años  más  para la construcción del Comando Sur de la Policía.</t>
  </si>
  <si>
    <t>Mediante escritura No. 1541 del 5 de Septiembre del 2012 de la Notaría Cuarta del Circuito, para la construccion del comando sur de la policia , el  Acuerdo Municipal 015 de 2012 y la Escritura de donacion numero 1865 del 06 de octubre de 2010 de la Notaría Segunda del Circuito de Palmira.</t>
  </si>
  <si>
    <t>Se suministro toda la logística requerida para la opertatividad de los nuevos miembros de la Policía Nacional, se gsetionó ante la Policía Nacional el incremento de 49 policías para el Municipio de Palmira</t>
  </si>
  <si>
    <t>Planilla de incorporación d elos nuevos agentes Policiales</t>
  </si>
  <si>
    <t>Se dotó a la Policia  de  52 motocicletas, y al Batallon Codazzi de 10 motocicletas.</t>
  </si>
  <si>
    <t>Contrato MP-514/2012</t>
  </si>
  <si>
    <t xml:space="preserve">Se formulo el Plan de Acción territorial PAT, el cual incluye las actividades debidamente presupuestadas de cada una de las Secretarias, el Sena, ICBF y de la Unidad de Víctimas </t>
  </si>
  <si>
    <t>decreto No. 272 de dic.13 del 2013</t>
  </si>
  <si>
    <t>La población  carcelaria beneficiada con la ejecución de este apoyo de la Administración Municipal, fue de más de 2000 internos, distribuidos en 8 pabellones, donde se llevaron actividades como la celebración de la Fiesta de las Mercedes con actos culturales, musicales, en cada uno de los patios. Se visitó a todas las emisoras radiales con el fin de difundir la campaña de donación de libros, juegos didácticos, con el fin de organizar las bibliotecas disponibles al servicio de los internos, se recibieron en donación 5oo libros, lo que permitió actualizar dichas bibliotecas. Se participó con un STAND en la pasada fiesta de la Agricultura, se exhibieron todos los trabajos artesanales elaborados por los internos de la Penitenciaria, el fin que se perseguía era promocionar el almacén artesanal del Centro Penitenciario. La administración Municipal entrego 4 cuñetes de pintura blanca para rehabilitar el centro médico del establecimiento  carcelario, así brindar la asepsia necesaria para la atención médica de los internos. Se celebro el día 21 de octubre la fiesta de los  niños  hijos de los internos llevándoles Helado, dulces,  regalos y refrigerios. Se realizó brigada médica beneficiando a un total de 1000 internos pertenecientes a dos patios. Se realizaron 2 brigadas de peluquería con el acompañamiento de la Academia IVONNE.  Se gestiono el Parque del Azúcar para la Fiesta de los niños hijos de el personal de la guardia. Se celebro la graduación de 40 internos como bachilleres del convenio existente con el centro educativo Domingo Irurirta.</t>
  </si>
  <si>
    <t>Contrato MP-510/2012 Se cuenta con registro fotográfico de las actividades realziadas</t>
  </si>
  <si>
    <t>Se realizaron seis socializaciones, con las directivas d elos vendedores, tambien con  la totalidad de los vendedores,  con la directiva de los comerciantes formales;  y con el cemercio en general, igualmente se socilaizó el proyecto al SENA y a un grupo de vendores que estaban tomando el curso de emprendimiento. IMPACTO: en el comercio existe buena aceptación y credibilidad del proyecto de reubicación de los vendedores; en la Población en General hay aceptación y credibilidad  de este proyecto. Se efectuó el CENSO de los vendedores Ambulantes y Estacionarios del centro de la ciudad, Se cuantificó y se cuaificó la totalidad de los vendedores. Para la ubicación física de los vendedores, se estudiaron varios modelos de otras Ciudades y se analizó la situación local, determinandose el se sitio donde se relocalizaran. Se elaboró el decreto 111 donde se declaro de utilizada pública los predios a utilizar para la reubicación de los vendedores informales. Se contrato con el IGAC la valoración de los predios a adquirir por parte del Municipio. Se elaboró un esquema básico del proyecto arquitectonico conforme al programa de actividades.</t>
  </si>
  <si>
    <t>Contrato MP-235/2012 - Listados de asistencias a las convocatorias realziadas.  El decreto No. 111 del 2013. Registro fotográfico, video sobre los vendedores con su ubicación actual y proyectada</t>
  </si>
  <si>
    <t>Se trabajo de manera conjunta el decreto de toque de queda de menores  de edad participaron la Secretaría de Desarrollo Institucional con todos sus comisarios de Familia y el asesor de esta Secretaria, la Policia de Infancia y Adolescencia, Educación, Cultura, Salud, se han realizado 25 operativos en diferentes lugares d ela Ciudad incluyendo Tabernas, griles, bares y discotecas, con un resultado de 92 personas detenidas por infringir el decreto No. 037 de 2012. Se erradicó en un 90% la presencia de menores de edad en los semáforos . Se elaboraron 100 .000 volantes con información del toque de queda para menores, los cuales se distribuyeron en Centros educativos para su socialización, de igual forma se socializó en todos los medios de comunciación hablados y escritos como tambien la televisión local. Se creo la escuela de padres con el acompañamiento del CEAI</t>
  </si>
  <si>
    <t>Los repeortes Policivos de Infancia y Adolescencia, el Decreto No. 037 de enero 22 de 2012, Volante impreso de la campaña de divulgación de restricción de menores de edad en cuanto a la permanencia o circulación despues de las 10:00 p.m  hasta las 5:00 p.m.</t>
  </si>
  <si>
    <t>Se realizó con la policía de Infancia y Adolescencia en la I.E Harold Eder  una campaña civica alusiva a Paz con una participación apróximada de 338 estudiantes</t>
  </si>
  <si>
    <t>Fotografias  de la asistencia</t>
  </si>
  <si>
    <t>Campaña para la denuncia de  los casos por extorsión, se elaboraron  100.000 volantes y 60.000 afiches y una campaña radial denominada CUENTELE AL COMANDANTE, transmitida por radio Palmira en am todos los viernes de 6:30 am a 8:00 am, con una audiencia de aproximada de 2.500 personas semanales.</t>
  </si>
  <si>
    <t>Contrato  de compra venta No. 814 - impresión de volantes y afiches contra la extorsión y para la campaña radial las gravaciónes  del programa</t>
  </si>
  <si>
    <t>Se  realizaron 886 requerimientos por contravenciones Policivas, dando solución a las mismas y firmando los comprmisos pertinentes.</t>
  </si>
  <si>
    <t xml:space="preserve">Informe año 2012 del Inpsector de Policía de Policia </t>
  </si>
  <si>
    <t>Se dieño el programa de concilaición en equidad para la paz y la convivencia</t>
  </si>
  <si>
    <t xml:space="preserve">Proyecto dieseñado  y aprobado </t>
  </si>
  <si>
    <t xml:space="preserve">El Muncipio gestionó ante el Ministerio de la Tecnologia de Información y Comunicación, auxilios para la conexión de internet para los estratos 1 y 2 en el marco del Programa "Hogares Digitales". Estos representaron un incremento de cobertura para 3200 hogares en estos estratos. </t>
  </si>
  <si>
    <t>Contrato entre el Ministerio de Tecnologia de Informaciòn y Comunicaciones y el Operador Claro, para la prestación de este servicio en nuestro Municipio.</t>
  </si>
  <si>
    <t>El cumplimiento de esta meta, no representó ningún costo para el Municipio, se logró a través de la gestión ante el Ministerio.</t>
  </si>
  <si>
    <t>La Oficina de Informática y TIC, gestionó antel el Ministerio de las TIC, en el marco de su Programa "Puntos Vive Digital Fase 0" la asignación de un Punto Vive Digital, logrando ser incluido en dicho programa. Con la ejecución de este Programa, la administración Municipal está incrementando la masificación y apropiación de uso de las tecnologías, en la población de escasos recursos. La implementación de este Programa, da cumplimiento a las políticas nacionales en materia de usos de las TIC, como factor fundamental para la competitividad de los territorios.</t>
  </si>
  <si>
    <t>Puesta en marcha del Punto Vive Digital (sector centro)</t>
  </si>
  <si>
    <t xml:space="preserve">Se realizaron capacitaciones básicas en Tic, con el fin de que las personas beneficiadas se apropien de la tecnologia. Fue realizado por esta oficina a través de gestión, con la ERT, y con funcionarios de la HP </t>
  </si>
  <si>
    <t>Listado de personas capacitadas</t>
  </si>
  <si>
    <t>Se logró publicar en la página web 25 trámites estandarizados, facilitándole a la comunidad, adelantar sus operaciones y servicos municipales.</t>
  </si>
  <si>
    <t>Tramites y servicios en linea implementados en la página web.</t>
  </si>
  <si>
    <t>Se ha logrado mejorar el desempeño de los procesos de la administración municipal, mediante la dotación, mantenimiento y suministros de software y hardware. Un ejemplo de ello, es la puesta en marcha del sistema de información LENIX, donde se ha logrado facilitar las herramientas de trabajo a los funcionarios y prestar servicios con eficiencia a la comunidad, lo que redundado en un mayor valor de facturación y recaudo de ingresos al Municipio. En este sentido, se ejecutaron contrato de mantenimiento de equuipos, se adquirieron las licencias de autocad.</t>
  </si>
  <si>
    <t>Contratos de suministro de Hardaware, Software y Plan de mantenimiento preventivo de equipos de cómputo</t>
  </si>
  <si>
    <t>El municipio de Palmira firmo convenio con el Ministerio de las TIC para cumplir con esta meta</t>
  </si>
  <si>
    <t>Convenio 001 de Abril 28 de 2012 con el Ministerio de las TIC- Programa de Computadores para Educar</t>
  </si>
  <si>
    <t>Ya se tienen las  585Tablet y 1850 portatiles para ser entregados para entragar el 11 de enero, en la visita que tiene programado el Ministro de las TIC</t>
  </si>
  <si>
    <t>La Secretaría de Planeación ha identificado errores en la estratificación socioeconómica; unos que vienen desde el año 1999, época dondo se adoptó el estudio realizado por la firma CNID; otros por la incorrecta asignación del estrato a los nuevos desarrollos urbanísticos y los otros, por la no actualización de los estratos producto de los cambios en el entorno urbanístico y paisajísticos de los barrios. De cara a lo anterior, se elaboraron los estudios previos para contratar la actualización de la estratificación, pero ante una observación realizada por el DANE, donde anunciaron que el Municipio de Palmira, es pertinente, adelantar una revisión general a la misma.</t>
  </si>
  <si>
    <t>Estudios previos de la actualización de la estratificación y Oficio DANE.</t>
  </si>
  <si>
    <t>La administración municipal, dinamizó el Comité de Calidad, conformado por la alta dirección y en el marco de la mejora de los procesos y procedimientos, realizó campañas internas de reinducción para apropiar los elementos que establece el MECI. De igual manera, fortaleció el Sistema de Gestión de la Calidad, basada en la NTC GP 1000.</t>
  </si>
  <si>
    <t>Actas del Comité de Calidad, Campañas de reinducción MECI y SGC NTC GP-1000 y documentación de los procesos y procedimientos</t>
  </si>
  <si>
    <t>La Secretaría de Gobierno, realizó la construcción y reparciones casetas comunales, apoyó con capacitación y dotación a los respresentantes comunales de la JAL y JAC y a las organizaciones municipales de los diferentes sectores sociales (Consejo territorial de planeación, deporte, salud, entre otros).</t>
  </si>
  <si>
    <t>contrato de obra publica, Resoluciones de ga</t>
  </si>
  <si>
    <t>La Secretaría de Planeación definió la metodología para la Rendición de Cuentas, la cual se aplicó en todos los actos, reuniones y espacios de concertación del Presupuesto Participativo que se llevaron a cabo en los Centros Poblados</t>
  </si>
  <si>
    <r>
      <t xml:space="preserve">Porcentaje de </t>
    </r>
    <r>
      <rPr>
        <strike/>
        <u/>
        <sz val="11"/>
        <rFont val="Arial"/>
        <family val="2"/>
      </rPr>
      <t>suscriptores</t>
    </r>
    <r>
      <rPr>
        <sz val="11"/>
        <rFont val="Arial"/>
        <family val="2"/>
      </rPr>
      <t xml:space="preserve"> de acueductos certificados por la Superintendencia de Servicios Públicos Domiciliarios SSPD de los estratos 1 y 2 de la zona rural subsidiados.</t>
    </r>
  </si>
  <si>
    <r>
      <t xml:space="preserve">Incrementar al </t>
    </r>
    <r>
      <rPr>
        <b/>
        <sz val="11"/>
        <rFont val="Arial"/>
        <family val="2"/>
      </rPr>
      <t>82%</t>
    </r>
    <r>
      <rPr>
        <sz val="11"/>
        <rFont val="Arial"/>
        <family val="2"/>
      </rPr>
      <t xml:space="preserve"> el indicador de desempeño integral</t>
    </r>
  </si>
  <si>
    <t xml:space="preserve">Valor Avance del Indicador
2012 </t>
  </si>
  <si>
    <t>PLAN OPERATIVO ANUAL DE INVERSIÓN</t>
  </si>
  <si>
    <t>Generción de recursos propios</t>
  </si>
  <si>
    <t xml:space="preserve">MATRIZ DEL PLAN PLURIANUAL DE INVERSIÓN </t>
  </si>
  <si>
    <t>PLAN DE DESARROLLO 2012-2015 "PALMIRA AVANZA CON SU GENTE"</t>
  </si>
  <si>
    <t xml:space="preserve">PLAN DE ACCIÓN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</si>
</sst>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 _€_-;\-* #,##0.00\ _€_-;_-* &quot;-&quot;??\ _€_-;_-@_-"/>
    <numFmt numFmtId="164" formatCode="_(* #,##0.00_);_(* \(#,##0.00\);_(* &quot;-&quot;??_);_(@_)"/>
    <numFmt numFmtId="165" formatCode="&quot;$&quot;#,##0;\-&quot;$&quot;#,##0"/>
    <numFmt numFmtId="166" formatCode="_(* #,##0_);_(* \(#,##0\);_(* &quot;-&quot;??_);_(@_)"/>
    <numFmt numFmtId="167" formatCode="#,##0.000"/>
    <numFmt numFmtId="168" formatCode="0.0%"/>
    <numFmt numFmtId="169" formatCode="\$#,##0.00\ ;\(\$#,##0.00\)"/>
    <numFmt numFmtId="170" formatCode="_([$€-2]* #,##0.00_);_([$€-2]* \(#,##0.00\);_([$€-2]* &quot;-&quot;??_)"/>
    <numFmt numFmtId="171" formatCode="#.##000"/>
    <numFmt numFmtId="172" formatCode="_-* #,##0\ _P_t_s_-;\-* #,##0\ _P_t_s_-;_-* &quot;-&quot;\ _P_t_s_-;_-@_-"/>
    <numFmt numFmtId="173" formatCode="0_)"/>
    <numFmt numFmtId="174" formatCode="\$#,#00"/>
    <numFmt numFmtId="175" formatCode="_-* #,##0\ &quot;Pts&quot;_-;\-* #,##0\ &quot;Pts&quot;_-;_-* &quot;-&quot;\ &quot;Pts&quot;_-;_-@_-"/>
    <numFmt numFmtId="176" formatCode="_ * #,##0.00_ ;_ * \-#,##0.00_ ;_ * &quot;-&quot;??_ ;_ @_ "/>
    <numFmt numFmtId="177" formatCode="_ * #,##0.00_ ;_ * \-#,##0.00_ ;_ * \-??_ ;_ @_ "/>
    <numFmt numFmtId="178" formatCode="_-* #,##0.00\ [$€]_-;\-* #,##0.00\ [$€]_-;_-* \-??\ [$€]_-;_-@_-"/>
    <numFmt numFmtId="179" formatCode="#,##0."/>
    <numFmt numFmtId="180" formatCode="_(* #,##0.0000000_);_(* \(#,##0.0000000\);_(* &quot;-&quot;??_);_(@_)"/>
    <numFmt numFmtId="181" formatCode="0.000%"/>
    <numFmt numFmtId="182" formatCode="_-* #,##0.00\ _P_t_s_-;\-* #,##0.00\ _P_t_s_-;_-* \-??\ _P_t_s_-;_-@_-"/>
    <numFmt numFmtId="183" formatCode="_-* #,##0.000\ _p_t_a_-;\-* #,##0.000\ _p_t_a_-;_-* &quot;-&quot;??\ _p_t_a_-;_-@_-"/>
    <numFmt numFmtId="184" formatCode="_(* #,##0.000000_);_(* \(#,##0.000000\);_(* &quot;-&quot;??_);_(@_)"/>
    <numFmt numFmtId="185" formatCode="#,##0.000;\-#,##0.000"/>
    <numFmt numFmtId="186" formatCode="\$#,##0\ ;&quot;($&quot;#,##0\)"/>
    <numFmt numFmtId="187" formatCode="_ [$€-2]\ * #,##0.00_ ;_ [$€-2]\ * \-#,##0.00_ ;_ [$€-2]\ * &quot;-&quot;??_ "/>
    <numFmt numFmtId="188" formatCode="%#,#00"/>
    <numFmt numFmtId="189" formatCode="&quot;$&quot;\ #,##0;\-&quot;$&quot;\ #,##0"/>
    <numFmt numFmtId="190" formatCode="0.0"/>
  </numFmts>
  <fonts count="72">
    <font>
      <sz val="10"/>
      <name val="Times New Roman"/>
      <family val="1"/>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10"/>
      <name val="Calibri"/>
      <family val="2"/>
    </font>
    <font>
      <sz val="10"/>
      <name val="Times New Roman"/>
      <family val="1"/>
      <charset val="204"/>
    </font>
    <font>
      <sz val="11"/>
      <name val="Arial"/>
      <family val="2"/>
    </font>
    <font>
      <b/>
      <sz val="11"/>
      <name val="Arial"/>
      <family val="2"/>
    </font>
    <font>
      <sz val="9"/>
      <color indexed="81"/>
      <name val="Tahoma"/>
      <family val="2"/>
    </font>
    <font>
      <b/>
      <sz val="9"/>
      <color indexed="81"/>
      <name val="Tahoma"/>
      <family val="2"/>
    </font>
    <font>
      <sz val="10"/>
      <name val="Arial"/>
      <family val="2"/>
    </font>
    <font>
      <b/>
      <sz val="10"/>
      <name val="Arial"/>
      <family val="2"/>
    </font>
    <font>
      <sz val="8"/>
      <name val="Arial"/>
      <family val="2"/>
    </font>
    <font>
      <b/>
      <sz val="11"/>
      <name val="Calibri"/>
      <family val="2"/>
      <scheme val="minor"/>
    </font>
    <font>
      <sz val="12"/>
      <name val="Arial"/>
      <family val="2"/>
    </font>
    <font>
      <sz val="11"/>
      <color indexed="8"/>
      <name val="Calibri"/>
      <family val="2"/>
    </font>
    <font>
      <sz val="10"/>
      <color indexed="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1"/>
      <color indexed="9"/>
      <name val="Calibri"/>
      <family val="2"/>
    </font>
    <font>
      <sz val="11"/>
      <color indexed="17"/>
      <name val="Calibri"/>
      <family val="2"/>
    </font>
    <font>
      <b/>
      <sz val="1"/>
      <color indexed="8"/>
      <name val="Courier"/>
      <family val="3"/>
    </font>
    <font>
      <b/>
      <sz val="18"/>
      <color indexed="22"/>
      <name val="Arial"/>
      <family val="2"/>
    </font>
    <font>
      <b/>
      <sz val="12"/>
      <color indexed="22"/>
      <name val="Arial"/>
      <family val="2"/>
    </font>
    <font>
      <b/>
      <sz val="11"/>
      <color indexed="10"/>
      <name val="Calibri"/>
      <family val="2"/>
    </font>
    <font>
      <b/>
      <sz val="11"/>
      <color indexed="9"/>
      <name val="Calibri"/>
      <family val="2"/>
    </font>
    <font>
      <sz val="1"/>
      <color indexed="8"/>
      <name val="Courier"/>
      <family val="3"/>
    </font>
    <font>
      <b/>
      <sz val="11"/>
      <color indexed="62"/>
      <name val="Calibri"/>
      <family val="2"/>
    </font>
    <font>
      <sz val="11"/>
      <color indexed="62"/>
      <name val="Calibri"/>
      <family val="2"/>
    </font>
    <font>
      <b/>
      <i/>
      <sz val="1"/>
      <color indexed="8"/>
      <name val="Courier"/>
      <family val="3"/>
    </font>
    <font>
      <sz val="10"/>
      <name val="BERNHARD"/>
    </font>
    <font>
      <sz val="11"/>
      <color indexed="20"/>
      <name val="Calibri"/>
      <family val="2"/>
    </font>
    <font>
      <sz val="11"/>
      <color indexed="19"/>
      <name val="Calibri"/>
      <family val="2"/>
    </font>
    <font>
      <sz val="8"/>
      <color indexed="10"/>
      <name val="BERNHARD"/>
    </font>
    <font>
      <sz val="12"/>
      <name val="Arial MT"/>
    </font>
    <font>
      <b/>
      <sz val="11"/>
      <color indexed="63"/>
      <name val="Calibri"/>
      <family val="2"/>
    </font>
    <font>
      <i/>
      <sz val="11"/>
      <color indexed="23"/>
      <name val="Calibri"/>
      <family val="2"/>
    </font>
    <font>
      <b/>
      <sz val="15"/>
      <color indexed="62"/>
      <name val="Calibri"/>
      <family val="2"/>
    </font>
    <font>
      <b/>
      <sz val="13"/>
      <color indexed="62"/>
      <name val="Calibri"/>
      <family val="2"/>
    </font>
    <font>
      <b/>
      <sz val="18"/>
      <color indexed="62"/>
      <name val="Cambria"/>
      <family val="2"/>
    </font>
    <font>
      <b/>
      <sz val="8"/>
      <name val="Arial"/>
      <family val="2"/>
    </font>
    <font>
      <sz val="9"/>
      <color indexed="81"/>
      <name val="Tahoma"/>
      <charset val="1"/>
    </font>
    <font>
      <b/>
      <sz val="9"/>
      <color indexed="81"/>
      <name val="Tahoma"/>
      <charset val="1"/>
    </font>
    <font>
      <b/>
      <sz val="9"/>
      <name val="Arial"/>
      <family val="2"/>
    </font>
    <font>
      <strike/>
      <u/>
      <sz val="11"/>
      <name val="Arial"/>
      <family val="2"/>
    </font>
    <font>
      <b/>
      <sz val="18"/>
      <name val="Arial"/>
      <family val="2"/>
    </font>
    <font>
      <b/>
      <sz val="24"/>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7"/>
        <bgColor indexed="44"/>
      </patternFill>
    </fill>
    <fill>
      <patternFill patternType="solid">
        <fgColor indexed="60"/>
        <bgColor indexed="30"/>
      </patternFill>
    </fill>
    <fill>
      <patternFill patternType="solid">
        <fgColor indexed="51"/>
        <bgColor indexed="38"/>
      </patternFill>
    </fill>
    <fill>
      <patternFill patternType="solid">
        <fgColor indexed="41"/>
        <bgColor indexed="46"/>
      </patternFill>
    </fill>
    <fill>
      <patternFill patternType="solid">
        <fgColor indexed="29"/>
        <bgColor indexed="52"/>
      </patternFill>
    </fill>
    <fill>
      <patternFill patternType="solid">
        <fgColor indexed="9"/>
        <bgColor indexed="26"/>
      </patternFill>
    </fill>
    <fill>
      <patternFill patternType="solid">
        <fgColor indexed="55"/>
        <bgColor indexed="23"/>
      </patternFill>
    </fill>
    <fill>
      <patternFill patternType="solid">
        <fgColor indexed="56"/>
        <bgColor indexed="62"/>
      </patternFill>
    </fill>
    <fill>
      <patternFill patternType="solid">
        <fgColor indexed="54"/>
        <bgColor indexed="30"/>
      </patternFill>
    </fill>
    <fill>
      <patternFill patternType="solid">
        <fgColor indexed="49"/>
        <bgColor indexed="40"/>
      </patternFill>
    </fill>
    <fill>
      <patternFill patternType="solid">
        <fgColor indexed="10"/>
        <bgColor indexed="16"/>
      </patternFill>
    </fill>
    <fill>
      <patternFill patternType="solid">
        <fgColor indexed="43"/>
        <bgColor indexed="26"/>
      </patternFill>
    </fill>
    <fill>
      <patternFill patternType="solid">
        <fgColor indexed="46"/>
        <bgColor indexed="41"/>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double">
        <color indexed="64"/>
      </top>
      <bottom/>
      <diagonal/>
    </border>
    <border>
      <left/>
      <right/>
      <top style="double">
        <color indexed="8"/>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style="thin">
        <color auto="1"/>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
      <left/>
      <right/>
      <top style="thin">
        <color indexed="64"/>
      </top>
      <bottom/>
      <diagonal/>
    </border>
  </borders>
  <cellStyleXfs count="763">
    <xf numFmtId="0" fontId="0" fillId="0" borderId="0" applyNumberFormat="0" applyFill="0" applyBorder="0" applyProtection="0">
      <alignment vertical="top" wrapText="1"/>
    </xf>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11"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7" fillId="32" borderId="0" applyNumberFormat="0" applyBorder="0" applyAlignment="0" applyProtection="0"/>
    <xf numFmtId="9" fontId="29" fillId="0" borderId="0" applyFont="0" applyFill="0" applyBorder="0" applyAlignment="0" applyProtection="0"/>
    <xf numFmtId="164" fontId="29" fillId="0" borderId="0" applyFont="0" applyFill="0" applyBorder="0" applyAlignment="0" applyProtection="0"/>
    <xf numFmtId="0" fontId="29" fillId="0" borderId="0" applyNumberFormat="0" applyFill="0" applyBorder="0" applyProtection="0">
      <alignment vertical="top" wrapText="1"/>
    </xf>
    <xf numFmtId="0" fontId="10" fillId="0" borderId="0"/>
    <xf numFmtId="9" fontId="10" fillId="0" borderId="0" applyFont="0" applyFill="0" applyBorder="0" applyAlignment="0" applyProtection="0"/>
    <xf numFmtId="0" fontId="34" fillId="0" borderId="0"/>
    <xf numFmtId="0" fontId="10" fillId="0" borderId="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7" fillId="0" borderId="0"/>
    <xf numFmtId="164" fontId="34" fillId="0" borderId="0" applyFont="0" applyFill="0" applyBorder="0" applyAlignment="0" applyProtection="0"/>
    <xf numFmtId="9" fontId="34" fillId="0" borderId="0" applyFont="0" applyFill="0" applyBorder="0" applyAlignment="0" applyProtection="0"/>
    <xf numFmtId="0" fontId="39" fillId="0" borderId="0"/>
    <xf numFmtId="164" fontId="39" fillId="0" borderId="0" applyFont="0" applyFill="0" applyBorder="0" applyAlignment="0" applyProtection="0"/>
    <xf numFmtId="0" fontId="41" fillId="0" borderId="0" applyProtection="0"/>
    <xf numFmtId="0" fontId="41" fillId="0" borderId="0"/>
    <xf numFmtId="0" fontId="41" fillId="0" borderId="12" applyProtection="0"/>
    <xf numFmtId="2" fontId="41" fillId="0" borderId="0" applyProtection="0"/>
    <xf numFmtId="4" fontId="41" fillId="0" borderId="0" applyProtection="0"/>
    <xf numFmtId="0" fontId="42" fillId="0" borderId="0" applyProtection="0"/>
    <xf numFmtId="0" fontId="43" fillId="0" borderId="0" applyProtection="0"/>
    <xf numFmtId="169" fontId="41" fillId="0" borderId="0" applyProtection="0"/>
    <xf numFmtId="0" fontId="41" fillId="0" borderId="0"/>
    <xf numFmtId="0" fontId="40" fillId="0" borderId="0">
      <alignment vertical="top"/>
    </xf>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44" fillId="34" borderId="0" applyNumberFormat="0" applyBorder="0" applyAlignment="0" applyProtection="0"/>
    <xf numFmtId="0" fontId="44" fillId="38" borderId="0" applyNumberFormat="0" applyBorder="0" applyAlignment="0" applyProtection="0"/>
    <xf numFmtId="0" fontId="45" fillId="34" borderId="0" applyNumberFormat="0" applyBorder="0" applyAlignment="0" applyProtection="0"/>
    <xf numFmtId="0" fontId="46" fillId="0" borderId="0">
      <protection locked="0"/>
    </xf>
    <xf numFmtId="0" fontId="46" fillId="0" borderId="0">
      <protection locked="0"/>
    </xf>
    <xf numFmtId="170" fontId="46" fillId="0" borderId="0">
      <protection locked="0"/>
    </xf>
    <xf numFmtId="0" fontId="47" fillId="0" borderId="0" applyNumberFormat="0" applyFill="0" applyBorder="0" applyAlignment="0" applyProtection="0"/>
    <xf numFmtId="0" fontId="46" fillId="0" borderId="0">
      <protection locked="0"/>
    </xf>
    <xf numFmtId="0" fontId="46" fillId="0" borderId="0">
      <protection locked="0"/>
    </xf>
    <xf numFmtId="0" fontId="46" fillId="0" borderId="0">
      <protection locked="0"/>
    </xf>
    <xf numFmtId="170" fontId="46" fillId="0" borderId="0">
      <protection locked="0"/>
    </xf>
    <xf numFmtId="0" fontId="48" fillId="0" borderId="0" applyNumberFormat="0" applyFill="0" applyBorder="0" applyAlignment="0" applyProtection="0"/>
    <xf numFmtId="0" fontId="46" fillId="0" borderId="0">
      <protection locked="0"/>
    </xf>
    <xf numFmtId="0" fontId="49" fillId="39" borderId="13" applyNumberFormat="0" applyAlignment="0" applyProtection="0"/>
    <xf numFmtId="0" fontId="34" fillId="0" borderId="0" applyNumberFormat="0" applyFill="0" applyBorder="0" applyProtection="0">
      <alignment horizontal="left"/>
    </xf>
    <xf numFmtId="0" fontId="50" fillId="40" borderId="14" applyNumberFormat="0" applyAlignment="0" applyProtection="0"/>
    <xf numFmtId="0" fontId="28" fillId="0" borderId="15" applyNumberFormat="0" applyFill="0" applyAlignment="0" applyProtection="0"/>
    <xf numFmtId="171" fontId="51" fillId="0" borderId="0">
      <protection locked="0"/>
    </xf>
    <xf numFmtId="172" fontId="36" fillId="0" borderId="0" applyFont="0" applyFill="0" applyBorder="0" applyAlignment="0" applyProtection="0"/>
    <xf numFmtId="171" fontId="51" fillId="0" borderId="0">
      <protection locked="0"/>
    </xf>
    <xf numFmtId="171" fontId="51" fillId="0" borderId="0">
      <protection locked="0"/>
    </xf>
    <xf numFmtId="0" fontId="34" fillId="0" borderId="0">
      <protection locked="0"/>
    </xf>
    <xf numFmtId="173" fontId="34" fillId="0" borderId="0">
      <protection locked="0"/>
    </xf>
    <xf numFmtId="173" fontId="34" fillId="0" borderId="0">
      <protection locked="0"/>
    </xf>
    <xf numFmtId="173" fontId="34" fillId="0" borderId="0">
      <protection locked="0"/>
    </xf>
    <xf numFmtId="173" fontId="34" fillId="0" borderId="0">
      <protection locked="0"/>
    </xf>
    <xf numFmtId="174" fontId="51" fillId="0" borderId="0">
      <protection locked="0"/>
    </xf>
    <xf numFmtId="175" fontId="36" fillId="0" borderId="0" applyFont="0" applyFill="0" applyBorder="0" applyAlignment="0" applyProtection="0"/>
    <xf numFmtId="174" fontId="51" fillId="0" borderId="0">
      <protection locked="0"/>
    </xf>
    <xf numFmtId="174" fontId="51" fillId="0" borderId="0">
      <protection locked="0"/>
    </xf>
    <xf numFmtId="0" fontId="34" fillId="0" borderId="0">
      <protection locked="0"/>
    </xf>
    <xf numFmtId="165" fontId="34" fillId="0" borderId="0">
      <protection locked="0"/>
    </xf>
    <xf numFmtId="165" fontId="34" fillId="0" borderId="0">
      <protection locked="0"/>
    </xf>
    <xf numFmtId="165" fontId="34" fillId="0" borderId="0">
      <protection locked="0"/>
    </xf>
    <xf numFmtId="165" fontId="34" fillId="0" borderId="0">
      <protection locked="0"/>
    </xf>
    <xf numFmtId="0" fontId="51" fillId="0" borderId="0">
      <protection locked="0"/>
    </xf>
    <xf numFmtId="0" fontId="51" fillId="0" borderId="0">
      <protection locked="0"/>
    </xf>
    <xf numFmtId="170" fontId="51" fillId="0" borderId="0">
      <protection locked="0"/>
    </xf>
    <xf numFmtId="0" fontId="51" fillId="0" borderId="0">
      <protection locked="0"/>
    </xf>
    <xf numFmtId="0" fontId="52" fillId="0" borderId="0" applyNumberFormat="0" applyFill="0" applyBorder="0" applyAlignment="0" applyProtection="0"/>
    <xf numFmtId="0" fontId="44" fillId="41"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53" fillId="45" borderId="13" applyNumberFormat="0" applyAlignment="0" applyProtection="0"/>
    <xf numFmtId="176" fontId="34" fillId="0" borderId="0" applyFont="0" applyFill="0" applyBorder="0" applyAlignment="0" applyProtection="0"/>
    <xf numFmtId="177" fontId="38" fillId="0" borderId="0" applyFill="0" applyBorder="0" applyAlignment="0" applyProtection="0"/>
    <xf numFmtId="0" fontId="34" fillId="0" borderId="0" applyFont="0" applyFill="0" applyBorder="0" applyAlignment="0" applyProtection="0"/>
    <xf numFmtId="170" fontId="34" fillId="0" borderId="0" applyFont="0" applyFill="0" applyBorder="0" applyAlignment="0" applyProtection="0"/>
    <xf numFmtId="170" fontId="34" fillId="0" borderId="0" applyFont="0" applyFill="0" applyBorder="0" applyAlignment="0" applyProtection="0"/>
    <xf numFmtId="178" fontId="38" fillId="0" borderId="0" applyFill="0" applyBorder="0" applyAlignment="0" applyProtection="0"/>
    <xf numFmtId="0" fontId="34" fillId="0" borderId="0" applyFont="0" applyFill="0" applyBorder="0" applyAlignment="0" applyProtection="0"/>
    <xf numFmtId="179" fontId="51" fillId="0" borderId="0">
      <protection locked="0"/>
    </xf>
    <xf numFmtId="179" fontId="51" fillId="0" borderId="0">
      <protection locked="0"/>
    </xf>
    <xf numFmtId="179" fontId="51" fillId="0" borderId="0">
      <protection locked="0"/>
    </xf>
    <xf numFmtId="179" fontId="46" fillId="0" borderId="0">
      <protection locked="0"/>
    </xf>
    <xf numFmtId="179" fontId="54" fillId="0" borderId="0">
      <protection locked="0"/>
    </xf>
    <xf numFmtId="179" fontId="46" fillId="0" borderId="0">
      <protection locked="0"/>
    </xf>
    <xf numFmtId="179" fontId="54" fillId="0" borderId="0">
      <protection locked="0"/>
    </xf>
    <xf numFmtId="0" fontId="51" fillId="0" borderId="0">
      <protection locked="0"/>
    </xf>
    <xf numFmtId="0" fontId="51" fillId="0" borderId="0">
      <protection locked="0"/>
    </xf>
    <xf numFmtId="170" fontId="51" fillId="0" borderId="0">
      <protection locked="0"/>
    </xf>
    <xf numFmtId="0" fontId="38" fillId="0" borderId="0" applyFill="0" applyBorder="0" applyAlignment="0" applyProtection="0"/>
    <xf numFmtId="0" fontId="51" fillId="0" borderId="0">
      <protection locked="0"/>
    </xf>
    <xf numFmtId="0" fontId="55" fillId="0" borderId="0"/>
    <xf numFmtId="170" fontId="55" fillId="0" borderId="0"/>
    <xf numFmtId="180" fontId="34" fillId="0" borderId="0">
      <protection locked="0"/>
    </xf>
    <xf numFmtId="180" fontId="34" fillId="0" borderId="0">
      <protection locked="0"/>
    </xf>
    <xf numFmtId="180" fontId="34" fillId="0" borderId="0">
      <protection locked="0"/>
    </xf>
    <xf numFmtId="2" fontId="38" fillId="0" borderId="0" applyFill="0" applyBorder="0" applyAlignment="0" applyProtection="0"/>
    <xf numFmtId="180" fontId="34" fillId="0" borderId="0">
      <protection locked="0"/>
    </xf>
    <xf numFmtId="180" fontId="34" fillId="0" borderId="0">
      <protection locked="0"/>
    </xf>
    <xf numFmtId="180" fontId="34" fillId="0" borderId="0">
      <protection locked="0"/>
    </xf>
    <xf numFmtId="180" fontId="34" fillId="0" borderId="0">
      <protection locked="0"/>
    </xf>
    <xf numFmtId="180" fontId="34" fillId="0" borderId="0">
      <protection locked="0"/>
    </xf>
    <xf numFmtId="0" fontId="51" fillId="0" borderId="0">
      <protection locked="0"/>
    </xf>
    <xf numFmtId="0" fontId="51" fillId="0" borderId="0">
      <protection locked="0"/>
    </xf>
    <xf numFmtId="170" fontId="51" fillId="0" borderId="0">
      <protection locked="0"/>
    </xf>
    <xf numFmtId="0" fontId="51" fillId="0" borderId="0">
      <protection locked="0"/>
    </xf>
    <xf numFmtId="0" fontId="46" fillId="0" borderId="0">
      <protection locked="0"/>
    </xf>
    <xf numFmtId="0" fontId="46" fillId="0" borderId="0">
      <protection locked="0"/>
    </xf>
    <xf numFmtId="170" fontId="46" fillId="0" borderId="0">
      <protection locked="0"/>
    </xf>
    <xf numFmtId="0" fontId="46" fillId="0" borderId="0">
      <protection locked="0"/>
    </xf>
    <xf numFmtId="0" fontId="46" fillId="0" borderId="0">
      <protection locked="0"/>
    </xf>
    <xf numFmtId="0" fontId="46" fillId="0" borderId="0">
      <protection locked="0"/>
    </xf>
    <xf numFmtId="170" fontId="46" fillId="0" borderId="0">
      <protection locked="0"/>
    </xf>
    <xf numFmtId="0" fontId="46" fillId="0" borderId="0">
      <protection locked="0"/>
    </xf>
    <xf numFmtId="0" fontId="46" fillId="0" borderId="0">
      <protection locked="0"/>
    </xf>
    <xf numFmtId="0" fontId="46" fillId="0" borderId="0">
      <protection locked="0"/>
    </xf>
    <xf numFmtId="170" fontId="46" fillId="0" borderId="0">
      <protection locked="0"/>
    </xf>
    <xf numFmtId="0" fontId="46" fillId="0" borderId="0">
      <protection locked="0"/>
    </xf>
    <xf numFmtId="0" fontId="56" fillId="46" borderId="0" applyNumberFormat="0" applyBorder="0" applyAlignment="0" applyProtection="0"/>
    <xf numFmtId="181" fontId="38" fillId="0" borderId="0" applyFill="0" applyBorder="0" applyAlignment="0" applyProtection="0"/>
    <xf numFmtId="182" fontId="38" fillId="0" borderId="0" applyFill="0" applyBorder="0" applyAlignment="0" applyProtection="0"/>
    <xf numFmtId="182" fontId="38" fillId="0" borderId="0" applyFill="0" applyBorder="0" applyAlignment="0" applyProtection="0"/>
    <xf numFmtId="0" fontId="34" fillId="0" borderId="0" applyFont="0" applyFill="0" applyBorder="0" applyAlignment="0" applyProtection="0"/>
    <xf numFmtId="167" fontId="34" fillId="0" borderId="0" applyFont="0" applyFill="0" applyBorder="0" applyAlignment="0" applyProtection="0"/>
    <xf numFmtId="164" fontId="34" fillId="0" borderId="0" applyFont="0" applyFill="0" applyBorder="0" applyAlignment="0" applyProtection="0"/>
    <xf numFmtId="183" fontId="34" fillId="0" borderId="0" applyFont="0" applyFill="0" applyBorder="0" applyAlignment="0" applyProtection="0"/>
    <xf numFmtId="164" fontId="39" fillId="0" borderId="0" applyFont="0" applyFill="0" applyBorder="0" applyAlignment="0" applyProtection="0"/>
    <xf numFmtId="182" fontId="38" fillId="0" borderId="0" applyFill="0" applyBorder="0" applyAlignment="0" applyProtection="0"/>
    <xf numFmtId="182" fontId="38" fillId="0" borderId="0" applyFill="0" applyBorder="0" applyAlignment="0" applyProtection="0"/>
    <xf numFmtId="182" fontId="38" fillId="0" borderId="0" applyFill="0" applyBorder="0" applyAlignment="0" applyProtection="0"/>
    <xf numFmtId="182" fontId="38" fillId="0" borderId="0" applyFill="0" applyBorder="0" applyAlignment="0" applyProtection="0"/>
    <xf numFmtId="0" fontId="55" fillId="0" borderId="0"/>
    <xf numFmtId="170" fontId="55" fillId="0" borderId="0"/>
    <xf numFmtId="0" fontId="55" fillId="0" borderId="0"/>
    <xf numFmtId="170" fontId="55" fillId="0" borderId="0"/>
    <xf numFmtId="184" fontId="34" fillId="0" borderId="0">
      <protection locked="0"/>
    </xf>
    <xf numFmtId="184" fontId="34" fillId="0" borderId="0">
      <protection locked="0"/>
    </xf>
    <xf numFmtId="184" fontId="34" fillId="0" borderId="0">
      <protection locked="0"/>
    </xf>
    <xf numFmtId="184" fontId="34" fillId="0" borderId="0">
      <protection locked="0"/>
    </xf>
    <xf numFmtId="185" fontId="34" fillId="0" borderId="0">
      <protection locked="0"/>
    </xf>
    <xf numFmtId="185" fontId="34" fillId="0" borderId="0">
      <protection locked="0"/>
    </xf>
    <xf numFmtId="185" fontId="34" fillId="0" borderId="0">
      <protection locked="0"/>
    </xf>
    <xf numFmtId="186" fontId="38" fillId="0" borderId="0" applyFill="0" applyBorder="0" applyAlignment="0" applyProtection="0"/>
    <xf numFmtId="185" fontId="34" fillId="0" borderId="0">
      <protection locked="0"/>
    </xf>
    <xf numFmtId="0" fontId="57" fillId="45" borderId="0" applyNumberFormat="0" applyBorder="0" applyAlignment="0" applyProtection="0"/>
    <xf numFmtId="0" fontId="34" fillId="0" borderId="0"/>
    <xf numFmtId="187" fontId="39" fillId="0" borderId="0"/>
    <xf numFmtId="187" fontId="39" fillId="0" borderId="0"/>
    <xf numFmtId="0" fontId="34" fillId="0" borderId="0"/>
    <xf numFmtId="0" fontId="34" fillId="0" borderId="0"/>
    <xf numFmtId="0" fontId="7" fillId="0" borderId="0"/>
    <xf numFmtId="0" fontId="7" fillId="0" borderId="0"/>
    <xf numFmtId="0" fontId="7" fillId="0" borderId="0"/>
    <xf numFmtId="0" fontId="34" fillId="0" borderId="0"/>
    <xf numFmtId="0" fontId="7" fillId="8" borderId="8" applyNumberFormat="0" applyFont="0" applyAlignment="0" applyProtection="0"/>
    <xf numFmtId="188" fontId="51" fillId="0" borderId="0">
      <protection locked="0"/>
    </xf>
    <xf numFmtId="188" fontId="51" fillId="0" borderId="0">
      <protection locked="0"/>
    </xf>
    <xf numFmtId="188" fontId="51" fillId="0" borderId="0">
      <protection locked="0"/>
    </xf>
    <xf numFmtId="188" fontId="51" fillId="0" borderId="0">
      <protection locked="0"/>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Protection="0">
      <alignment horizontal="left"/>
    </xf>
    <xf numFmtId="0" fontId="34" fillId="0" borderId="0" applyNumberFormat="0" applyFill="0" applyBorder="0" applyAlignment="0" applyProtection="0"/>
    <xf numFmtId="0" fontId="58" fillId="0" borderId="16"/>
    <xf numFmtId="170" fontId="58" fillId="0" borderId="16"/>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9" fillId="0" borderId="0" applyFont="0" applyFill="0" applyBorder="0" applyAlignment="0" applyProtection="0"/>
    <xf numFmtId="9" fontId="38" fillId="0" borderId="0" applyFill="0" applyBorder="0" applyAlignment="0" applyProtection="0"/>
    <xf numFmtId="0" fontId="51" fillId="0" borderId="0">
      <protection locked="0"/>
    </xf>
    <xf numFmtId="0" fontId="51" fillId="0" borderId="0">
      <protection locked="0"/>
    </xf>
    <xf numFmtId="170" fontId="51" fillId="0" borderId="0">
      <protection locked="0"/>
    </xf>
    <xf numFmtId="0" fontId="51" fillId="0" borderId="0">
      <protection locked="0"/>
    </xf>
    <xf numFmtId="189" fontId="59" fillId="0" borderId="0">
      <protection locked="0"/>
    </xf>
    <xf numFmtId="3" fontId="38" fillId="0" borderId="0" applyFill="0" applyBorder="0" applyAlignment="0" applyProtection="0"/>
    <xf numFmtId="0" fontId="55" fillId="0" borderId="0"/>
    <xf numFmtId="170" fontId="55" fillId="0" borderId="0"/>
    <xf numFmtId="39" fontId="36" fillId="0" borderId="17" applyFill="0">
      <alignment horizontal="left"/>
    </xf>
    <xf numFmtId="39" fontId="36" fillId="0" borderId="17" applyFill="0">
      <alignment horizontal="left"/>
    </xf>
    <xf numFmtId="39" fontId="36" fillId="0" borderId="17" applyFill="0">
      <alignment horizontal="left"/>
    </xf>
    <xf numFmtId="39" fontId="36" fillId="0" borderId="17" applyFill="0">
      <alignment horizontal="left"/>
    </xf>
    <xf numFmtId="0" fontId="60" fillId="39" borderId="18" applyNumberFormat="0" applyAlignment="0" applyProtection="0"/>
    <xf numFmtId="0" fontId="34" fillId="0" borderId="0" applyNumberFormat="0"/>
    <xf numFmtId="0" fontId="34" fillId="0" borderId="0" applyNumberFormat="0"/>
    <xf numFmtId="170" fontId="34" fillId="0" borderId="0" applyNumberFormat="0"/>
    <xf numFmtId="0" fontId="34" fillId="0" borderId="0" applyNumberFormat="0"/>
    <xf numFmtId="0" fontId="28" fillId="0" borderId="0" applyNumberFormat="0" applyFill="0" applyBorder="0" applyAlignment="0" applyProtection="0"/>
    <xf numFmtId="0" fontId="61" fillId="0" borderId="0" applyNumberFormat="0" applyFill="0" applyBorder="0" applyAlignment="0" applyProtection="0"/>
    <xf numFmtId="0" fontId="62" fillId="0" borderId="19" applyNumberFormat="0" applyFill="0" applyAlignment="0" applyProtection="0"/>
    <xf numFmtId="0" fontId="63" fillId="0" borderId="20" applyNumberFormat="0" applyFill="0" applyAlignment="0" applyProtection="0"/>
    <xf numFmtId="0" fontId="52" fillId="0" borderId="21" applyNumberFormat="0" applyFill="0" applyAlignment="0" applyProtection="0"/>
    <xf numFmtId="0" fontId="64" fillId="0" borderId="0" applyNumberFormat="0" applyFill="0" applyBorder="0" applyAlignment="0" applyProtection="0"/>
    <xf numFmtId="0" fontId="51" fillId="0" borderId="22">
      <protection locked="0"/>
    </xf>
    <xf numFmtId="170" fontId="51" fillId="0" borderId="22">
      <protection locked="0"/>
    </xf>
    <xf numFmtId="0" fontId="38" fillId="0" borderId="23" applyNumberFormat="0" applyFill="0" applyAlignment="0" applyProtection="0"/>
    <xf numFmtId="0" fontId="35" fillId="0" borderId="16"/>
    <xf numFmtId="0" fontId="41" fillId="0" borderId="0" applyProtection="0"/>
    <xf numFmtId="0" fontId="41" fillId="0" borderId="0" applyProtection="0"/>
    <xf numFmtId="170" fontId="41" fillId="0" borderId="0" applyProtection="0"/>
    <xf numFmtId="0" fontId="41" fillId="0" borderId="0" applyProtection="0"/>
    <xf numFmtId="169" fontId="41" fillId="0" borderId="0" applyProtection="0"/>
    <xf numFmtId="0" fontId="42" fillId="0" borderId="0" applyProtection="0"/>
    <xf numFmtId="0" fontId="42" fillId="0" borderId="0" applyProtection="0"/>
    <xf numFmtId="170" fontId="42" fillId="0" borderId="0" applyProtection="0"/>
    <xf numFmtId="0" fontId="42" fillId="0" borderId="0" applyProtection="0"/>
    <xf numFmtId="0" fontId="43" fillId="0" borderId="0" applyProtection="0"/>
    <xf numFmtId="0" fontId="43" fillId="0" borderId="0" applyProtection="0"/>
    <xf numFmtId="170" fontId="43" fillId="0" borderId="0" applyProtection="0"/>
    <xf numFmtId="0" fontId="43" fillId="0" borderId="0" applyProtection="0"/>
    <xf numFmtId="0" fontId="41" fillId="0" borderId="12" applyProtection="0"/>
    <xf numFmtId="0" fontId="41" fillId="0" borderId="12" applyProtection="0"/>
    <xf numFmtId="170" fontId="41" fillId="0" borderId="12" applyProtection="0"/>
    <xf numFmtId="0" fontId="41" fillId="0" borderId="12" applyProtection="0"/>
    <xf numFmtId="0" fontId="41" fillId="0" borderId="0"/>
    <xf numFmtId="10" fontId="41" fillId="0" borderId="0" applyProtection="0"/>
    <xf numFmtId="0" fontId="41" fillId="0" borderId="0"/>
    <xf numFmtId="0" fontId="41" fillId="0" borderId="0"/>
    <xf numFmtId="170" fontId="41" fillId="0" borderId="0"/>
    <xf numFmtId="0" fontId="41" fillId="0" borderId="0"/>
    <xf numFmtId="2" fontId="41" fillId="0" borderId="0" applyProtection="0"/>
    <xf numFmtId="2" fontId="41" fillId="0" borderId="0" applyProtection="0"/>
    <xf numFmtId="2" fontId="41" fillId="0" borderId="0" applyProtection="0"/>
    <xf numFmtId="2" fontId="41" fillId="0" borderId="0" applyProtection="0"/>
    <xf numFmtId="4" fontId="41" fillId="0" borderId="0" applyProtection="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9" fontId="6" fillId="0" borderId="0" applyFont="0" applyFill="0" applyBorder="0" applyAlignment="0" applyProtection="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49" fillId="39" borderId="24" applyNumberFormat="0" applyAlignment="0" applyProtection="0"/>
    <xf numFmtId="0" fontId="53" fillId="45" borderId="24" applyNumberFormat="0" applyAlignment="0" applyProtection="0"/>
    <xf numFmtId="0" fontId="6" fillId="0" borderId="0"/>
    <xf numFmtId="0" fontId="6" fillId="0" borderId="0"/>
    <xf numFmtId="0" fontId="6" fillId="0" borderId="0"/>
    <xf numFmtId="0" fontId="6" fillId="8" borderId="8" applyNumberFormat="0" applyFont="0" applyAlignment="0" applyProtection="0"/>
    <xf numFmtId="0" fontId="58" fillId="0" borderId="25"/>
    <xf numFmtId="170" fontId="58" fillId="0" borderId="25"/>
    <xf numFmtId="39" fontId="36" fillId="0" borderId="26" applyFill="0">
      <alignment horizontal="left"/>
    </xf>
    <xf numFmtId="39" fontId="36" fillId="0" borderId="26" applyFill="0">
      <alignment horizontal="left"/>
    </xf>
    <xf numFmtId="39" fontId="36" fillId="0" borderId="26" applyFill="0">
      <alignment horizontal="left"/>
    </xf>
    <xf numFmtId="0" fontId="60" fillId="39" borderId="27" applyNumberFormat="0" applyAlignment="0" applyProtection="0"/>
    <xf numFmtId="0" fontId="35" fillId="0" borderId="25"/>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9" fontId="5" fillId="0" borderId="0" applyFont="0" applyFill="0" applyBorder="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0" borderId="0"/>
    <xf numFmtId="0" fontId="5" fillId="0" borderId="0"/>
    <xf numFmtId="0" fontId="5" fillId="0" borderId="0"/>
    <xf numFmtId="0" fontId="5" fillId="8" borderId="8" applyNumberFormat="0" applyFont="0" applyAlignment="0" applyProtection="0"/>
    <xf numFmtId="0" fontId="4" fillId="0" borderId="0"/>
    <xf numFmtId="0" fontId="3" fillId="0" borderId="0"/>
    <xf numFmtId="43" fontId="3" fillId="0" borderId="0" applyFont="0" applyFill="0" applyBorder="0" applyAlignment="0" applyProtection="0"/>
    <xf numFmtId="170" fontId="58" fillId="0" borderId="39"/>
    <xf numFmtId="0" fontId="44" fillId="37"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41"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9" fontId="29" fillId="0" borderId="0" applyFont="0" applyFill="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44" fillId="38" borderId="0" applyNumberFormat="0" applyBorder="0" applyAlignment="0" applyProtection="0"/>
    <xf numFmtId="0" fontId="45" fillId="34" borderId="0" applyNumberFormat="0" applyBorder="0" applyAlignment="0" applyProtection="0"/>
    <xf numFmtId="0" fontId="49" fillId="39" borderId="34" applyNumberFormat="0" applyAlignment="0" applyProtection="0"/>
    <xf numFmtId="0" fontId="49" fillId="39" borderId="38" applyNumberFormat="0" applyAlignment="0" applyProtection="0"/>
    <xf numFmtId="0" fontId="49" fillId="39" borderId="38" applyNumberFormat="0" applyAlignment="0" applyProtection="0"/>
    <xf numFmtId="0" fontId="50" fillId="40" borderId="14" applyNumberFormat="0" applyAlignment="0" applyProtection="0"/>
    <xf numFmtId="0" fontId="28" fillId="0" borderId="15" applyNumberFormat="0" applyFill="0" applyAlignment="0" applyProtection="0"/>
    <xf numFmtId="0" fontId="44" fillId="35" borderId="0" applyNumberFormat="0" applyBorder="0" applyAlignment="0" applyProtection="0"/>
    <xf numFmtId="0" fontId="53" fillId="45" borderId="34" applyNumberFormat="0" applyAlignment="0" applyProtection="0"/>
    <xf numFmtId="0" fontId="44" fillId="36"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44" borderId="0" applyNumberFormat="0" applyBorder="0" applyAlignment="0" applyProtection="0"/>
    <xf numFmtId="0" fontId="53" fillId="45" borderId="38" applyNumberFormat="0" applyAlignment="0" applyProtection="0"/>
    <xf numFmtId="0" fontId="53" fillId="45" borderId="38" applyNumberFormat="0" applyAlignment="0" applyProtection="0"/>
    <xf numFmtId="0" fontId="53" fillId="45" borderId="38" applyNumberFormat="0" applyAlignment="0" applyProtection="0"/>
    <xf numFmtId="0" fontId="53" fillId="45" borderId="38" applyNumberFormat="0" applyAlignment="0" applyProtection="0"/>
    <xf numFmtId="164" fontId="2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87" fontId="39" fillId="0" borderId="0"/>
    <xf numFmtId="0" fontId="60" fillId="39" borderId="40" applyNumberFormat="0" applyAlignment="0" applyProtection="0"/>
    <xf numFmtId="0" fontId="28" fillId="0" borderId="0" applyNumberFormat="0" applyFill="0" applyBorder="0" applyAlignment="0" applyProtection="0"/>
    <xf numFmtId="0" fontId="2" fillId="0" borderId="0"/>
    <xf numFmtId="0" fontId="2" fillId="0" borderId="0"/>
    <xf numFmtId="0" fontId="2" fillId="0" borderId="0"/>
    <xf numFmtId="0" fontId="2" fillId="8" borderId="8" applyNumberFormat="0" applyFont="0" applyAlignment="0" applyProtection="0"/>
    <xf numFmtId="0" fontId="44" fillId="35" borderId="0" applyNumberFormat="0" applyBorder="0" applyAlignment="0" applyProtection="0"/>
    <xf numFmtId="0" fontId="58" fillId="0" borderId="35"/>
    <xf numFmtId="170" fontId="58" fillId="0" borderId="35"/>
    <xf numFmtId="0" fontId="58" fillId="0" borderId="39"/>
    <xf numFmtId="0" fontId="61" fillId="0" borderId="0" applyNumberFormat="0" applyFill="0" applyBorder="0" applyAlignment="0" applyProtection="0"/>
    <xf numFmtId="39" fontId="36" fillId="0" borderId="36" applyFill="0">
      <alignment horizontal="left"/>
    </xf>
    <xf numFmtId="39" fontId="36" fillId="0" borderId="36" applyFill="0">
      <alignment horizontal="left"/>
    </xf>
    <xf numFmtId="39" fontId="36" fillId="0" borderId="36" applyFill="0">
      <alignment horizontal="left"/>
    </xf>
    <xf numFmtId="0" fontId="60" fillId="39" borderId="37" applyNumberFormat="0" applyAlignment="0" applyProtection="0"/>
    <xf numFmtId="0" fontId="44" fillId="34" borderId="0" applyNumberFormat="0" applyBorder="0" applyAlignment="0" applyProtection="0"/>
    <xf numFmtId="0" fontId="35" fillId="0" borderId="35"/>
    <xf numFmtId="0" fontId="44" fillId="34"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49" fillId="39" borderId="34" applyNumberFormat="0" applyAlignment="0" applyProtection="0"/>
    <xf numFmtId="0" fontId="53" fillId="45" borderId="34" applyNumberFormat="0" applyAlignment="0" applyProtection="0"/>
    <xf numFmtId="0" fontId="2" fillId="0" borderId="0"/>
    <xf numFmtId="0" fontId="2" fillId="0" borderId="0"/>
    <xf numFmtId="0" fontId="2" fillId="0" borderId="0"/>
    <xf numFmtId="0" fontId="2" fillId="8" borderId="8" applyNumberFormat="0" applyFont="0" applyAlignment="0" applyProtection="0"/>
    <xf numFmtId="0" fontId="58" fillId="0" borderId="35"/>
    <xf numFmtId="170" fontId="58" fillId="0" borderId="35"/>
    <xf numFmtId="39" fontId="36" fillId="0" borderId="36" applyFill="0">
      <alignment horizontal="left"/>
    </xf>
    <xf numFmtId="39" fontId="36" fillId="0" borderId="36" applyFill="0">
      <alignment horizontal="left"/>
    </xf>
    <xf numFmtId="39" fontId="36" fillId="0" borderId="36" applyFill="0">
      <alignment horizontal="left"/>
    </xf>
    <xf numFmtId="0" fontId="60" fillId="39" borderId="37" applyNumberFormat="0" applyAlignment="0" applyProtection="0"/>
    <xf numFmtId="0" fontId="35" fillId="0" borderId="35"/>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8" borderId="8" applyNumberFormat="0" applyFont="0" applyAlignment="0" applyProtection="0"/>
    <xf numFmtId="0" fontId="2" fillId="0" borderId="0"/>
    <xf numFmtId="0" fontId="2" fillId="0" borderId="0"/>
    <xf numFmtId="43" fontId="2" fillId="0" borderId="0" applyFont="0" applyFill="0" applyBorder="0" applyAlignment="0" applyProtection="0"/>
    <xf numFmtId="0" fontId="58" fillId="0" borderId="39"/>
    <xf numFmtId="0" fontId="60" fillId="39" borderId="40" applyNumberFormat="0" applyAlignment="0" applyProtection="0"/>
    <xf numFmtId="0" fontId="39" fillId="0" borderId="0"/>
    <xf numFmtId="0" fontId="60" fillId="39" borderId="40" applyNumberFormat="0" applyAlignment="0" applyProtection="0"/>
    <xf numFmtId="0" fontId="56" fillId="46" borderId="0" applyNumberFormat="0" applyBorder="0" applyAlignment="0" applyProtection="0"/>
    <xf numFmtId="0" fontId="29" fillId="0" borderId="0" applyNumberFormat="0" applyFill="0" applyBorder="0" applyProtection="0">
      <alignment vertical="top" wrapText="1"/>
    </xf>
    <xf numFmtId="170" fontId="58" fillId="0" borderId="39"/>
    <xf numFmtId="0" fontId="60" fillId="39" borderId="40" applyNumberFormat="0" applyAlignment="0" applyProtection="0"/>
    <xf numFmtId="0" fontId="44" fillId="36" borderId="0" applyNumberFormat="0" applyBorder="0" applyAlignment="0" applyProtection="0"/>
    <xf numFmtId="9" fontId="39" fillId="0" borderId="0" applyFont="0" applyFill="0" applyBorder="0" applyAlignment="0" applyProtection="0"/>
    <xf numFmtId="0" fontId="35" fillId="0" borderId="39"/>
    <xf numFmtId="0" fontId="35" fillId="0" borderId="39"/>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60" fillId="39" borderId="41" applyNumberForma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53" fillId="45" borderId="42" applyNumberFormat="0" applyAlignment="0" applyProtection="0"/>
    <xf numFmtId="0" fontId="58" fillId="0" borderId="43"/>
    <xf numFmtId="170" fontId="58" fillId="0" borderId="43"/>
    <xf numFmtId="0" fontId="60" fillId="39" borderId="44" applyNumberFormat="0" applyAlignment="0" applyProtection="0"/>
    <xf numFmtId="0" fontId="1" fillId="0" borderId="0"/>
    <xf numFmtId="0" fontId="1" fillId="0" borderId="0"/>
    <xf numFmtId="0" fontId="1" fillId="0" borderId="0"/>
    <xf numFmtId="0" fontId="1" fillId="8" borderId="8" applyNumberFormat="0" applyFont="0" applyAlignment="0" applyProtection="0"/>
    <xf numFmtId="170" fontId="58" fillId="0" borderId="43"/>
    <xf numFmtId="0" fontId="35" fillId="0" borderId="43"/>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0" borderId="0"/>
    <xf numFmtId="0" fontId="1" fillId="0" borderId="0"/>
    <xf numFmtId="43" fontId="1" fillId="0" borderId="0" applyFont="0" applyFill="0" applyBorder="0" applyAlignment="0" applyProtection="0"/>
    <xf numFmtId="0" fontId="53" fillId="45" borderId="42" applyNumberFormat="0" applyAlignment="0" applyProtection="0"/>
    <xf numFmtId="0" fontId="58" fillId="0" borderId="43"/>
    <xf numFmtId="0" fontId="35" fillId="0" borderId="43"/>
    <xf numFmtId="0" fontId="60" fillId="39" borderId="41" applyNumberFormat="0" applyAlignment="0" applyProtection="0"/>
    <xf numFmtId="0" fontId="49" fillId="39" borderId="42" applyNumberFormat="0" applyAlignment="0" applyProtection="0"/>
    <xf numFmtId="0" fontId="49" fillId="39" borderId="42" applyNumberFormat="0" applyAlignment="0" applyProtection="0"/>
    <xf numFmtId="0" fontId="60" fillId="39" borderId="44" applyNumberFormat="0" applyAlignment="0" applyProtection="0"/>
  </cellStyleXfs>
  <cellXfs count="109">
    <xf numFmtId="0" fontId="0" fillId="0" borderId="0" xfId="0">
      <alignment vertical="top" wrapText="1"/>
    </xf>
    <xf numFmtId="0" fontId="30" fillId="33" borderId="0" xfId="0" applyFont="1" applyFill="1" applyBorder="1">
      <alignment vertical="top" wrapText="1"/>
    </xf>
    <xf numFmtId="166" fontId="30" fillId="33" borderId="28" xfId="43" applyNumberFormat="1" applyFont="1" applyFill="1" applyBorder="1" applyAlignment="1">
      <alignment vertical="center" wrapText="1"/>
    </xf>
    <xf numFmtId="166" fontId="30" fillId="33" borderId="28" xfId="43" applyNumberFormat="1" applyFont="1" applyFill="1" applyBorder="1" applyAlignment="1">
      <alignment vertical="top" wrapText="1"/>
    </xf>
    <xf numFmtId="0" fontId="30" fillId="33" borderId="0" xfId="0" applyFont="1" applyFill="1">
      <alignment vertical="top" wrapText="1"/>
    </xf>
    <xf numFmtId="0" fontId="31" fillId="33" borderId="0" xfId="0" applyFont="1" applyFill="1" applyAlignment="1">
      <alignment vertical="center" textRotation="90" wrapText="1"/>
    </xf>
    <xf numFmtId="0" fontId="30" fillId="33" borderId="0" xfId="0" applyFont="1" applyFill="1" applyAlignment="1">
      <alignment horizontal="center" vertical="center" wrapText="1"/>
    </xf>
    <xf numFmtId="0" fontId="30" fillId="33" borderId="0" xfId="0" applyFont="1" applyFill="1" applyBorder="1" applyAlignment="1">
      <alignment horizontal="center" vertical="center" wrapText="1"/>
    </xf>
    <xf numFmtId="166" fontId="30" fillId="33" borderId="0" xfId="43" applyNumberFormat="1" applyFont="1" applyFill="1" applyAlignment="1">
      <alignment horizontal="center" vertical="center" wrapText="1"/>
    </xf>
    <xf numFmtId="3" fontId="30" fillId="33" borderId="28" xfId="398" applyNumberFormat="1" applyFont="1" applyFill="1" applyBorder="1" applyAlignment="1">
      <alignment vertical="center"/>
    </xf>
    <xf numFmtId="166" fontId="30" fillId="33" borderId="28" xfId="64" applyNumberFormat="1" applyFont="1" applyFill="1" applyBorder="1" applyAlignment="1">
      <alignment horizontal="center" vertical="center" wrapText="1"/>
    </xf>
    <xf numFmtId="0" fontId="30" fillId="33" borderId="28" xfId="0" applyFont="1" applyFill="1" applyBorder="1">
      <alignment vertical="top" wrapText="1"/>
    </xf>
    <xf numFmtId="0" fontId="31" fillId="33" borderId="0" xfId="0" applyFont="1" applyFill="1" applyBorder="1" applyAlignment="1">
      <alignment horizontal="center" vertical="center" textRotation="90" wrapText="1"/>
    </xf>
    <xf numFmtId="166" fontId="31" fillId="33" borderId="0" xfId="43" applyNumberFormat="1" applyFont="1" applyFill="1" applyAlignment="1">
      <alignment horizontal="center" vertical="center" wrapText="1"/>
    </xf>
    <xf numFmtId="0" fontId="30" fillId="33" borderId="28" xfId="0" applyFont="1" applyFill="1" applyBorder="1" applyAlignment="1">
      <alignment vertical="center" wrapText="1"/>
    </xf>
    <xf numFmtId="0" fontId="30" fillId="33" borderId="28" xfId="0" applyNumberFormat="1" applyFont="1" applyFill="1" applyBorder="1" applyAlignment="1">
      <alignment horizontal="center" vertical="center" wrapText="1"/>
    </xf>
    <xf numFmtId="168" fontId="30" fillId="33" borderId="28" xfId="0" applyNumberFormat="1" applyFont="1" applyFill="1" applyBorder="1" applyAlignment="1">
      <alignment horizontal="center" vertical="center" wrapText="1"/>
    </xf>
    <xf numFmtId="166" fontId="31" fillId="33" borderId="28" xfId="43" applyNumberFormat="1" applyFont="1" applyFill="1" applyBorder="1" applyAlignment="1">
      <alignment horizontal="center" vertical="center" wrapText="1"/>
    </xf>
    <xf numFmtId="0" fontId="30" fillId="33" borderId="0" xfId="0" applyFont="1" applyFill="1" applyBorder="1" applyAlignment="1">
      <alignment vertical="center" wrapText="1"/>
    </xf>
    <xf numFmtId="1" fontId="30" fillId="33" borderId="28" xfId="0" applyNumberFormat="1" applyFont="1" applyFill="1" applyBorder="1" applyAlignment="1">
      <alignment horizontal="center" vertical="center" wrapText="1"/>
    </xf>
    <xf numFmtId="3" fontId="30" fillId="33" borderId="28" xfId="0" applyNumberFormat="1" applyFont="1" applyFill="1" applyBorder="1" applyAlignment="1">
      <alignment horizontal="center" vertical="center"/>
    </xf>
    <xf numFmtId="0" fontId="30" fillId="33" borderId="0" xfId="0" applyFont="1" applyFill="1" applyAlignment="1">
      <alignment horizontal="center" vertical="top"/>
    </xf>
    <xf numFmtId="190" fontId="30" fillId="33" borderId="28" xfId="0" applyNumberFormat="1" applyFont="1" applyFill="1" applyBorder="1" applyAlignment="1">
      <alignment horizontal="center" vertical="center" wrapText="1"/>
    </xf>
    <xf numFmtId="0" fontId="31" fillId="33" borderId="28" xfId="0" applyFont="1" applyFill="1" applyBorder="1" applyAlignment="1">
      <alignment horizontal="center" vertical="center" wrapText="1"/>
    </xf>
    <xf numFmtId="9" fontId="30" fillId="33" borderId="28" xfId="42" applyFont="1" applyFill="1" applyBorder="1" applyAlignment="1">
      <alignment horizontal="center" vertical="center"/>
    </xf>
    <xf numFmtId="0" fontId="31" fillId="33" borderId="0" xfId="0" applyFont="1" applyFill="1">
      <alignment vertical="top" wrapText="1"/>
    </xf>
    <xf numFmtId="0" fontId="30" fillId="33" borderId="29" xfId="0" applyFont="1" applyFill="1" applyBorder="1" applyAlignment="1">
      <alignment horizontal="center" vertical="center" wrapText="1"/>
    </xf>
    <xf numFmtId="0" fontId="30" fillId="33" borderId="10" xfId="0" applyFont="1" applyFill="1" applyBorder="1" applyAlignment="1">
      <alignment horizontal="center" vertical="center" wrapText="1"/>
    </xf>
    <xf numFmtId="10" fontId="30" fillId="33" borderId="28" xfId="42" applyNumberFormat="1" applyFont="1" applyFill="1" applyBorder="1" applyAlignment="1">
      <alignment horizontal="center" vertical="center" wrapText="1"/>
    </xf>
    <xf numFmtId="166" fontId="30" fillId="33" borderId="28" xfId="43" applyNumberFormat="1" applyFont="1" applyFill="1" applyBorder="1" applyAlignment="1">
      <alignment horizontal="center" vertical="center" wrapText="1"/>
    </xf>
    <xf numFmtId="3" fontId="30" fillId="33" borderId="28" xfId="0" applyNumberFormat="1" applyFont="1" applyFill="1" applyBorder="1" applyAlignment="1">
      <alignment horizontal="center" vertical="center" wrapText="1"/>
    </xf>
    <xf numFmtId="166" fontId="30" fillId="33" borderId="28" xfId="43" applyNumberFormat="1" applyFont="1" applyFill="1" applyBorder="1" applyAlignment="1">
      <alignment horizontal="center" vertical="top" wrapText="1"/>
    </xf>
    <xf numFmtId="9" fontId="30" fillId="33" borderId="28" xfId="0" applyNumberFormat="1" applyFont="1" applyFill="1" applyBorder="1" applyAlignment="1">
      <alignment horizontal="center" vertical="center" wrapText="1"/>
    </xf>
    <xf numFmtId="0" fontId="30" fillId="33" borderId="28" xfId="44" applyFont="1" applyFill="1" applyBorder="1" applyAlignment="1">
      <alignment horizontal="center" vertical="center" wrapText="1"/>
    </xf>
    <xf numFmtId="9" fontId="30" fillId="33" borderId="28" xfId="42" applyFont="1" applyFill="1" applyBorder="1" applyAlignment="1">
      <alignment horizontal="center" vertical="center" wrapText="1"/>
    </xf>
    <xf numFmtId="0" fontId="31" fillId="33" borderId="0" xfId="0" applyFont="1" applyFill="1" applyAlignment="1">
      <alignment horizontal="center" vertical="center" wrapText="1"/>
    </xf>
    <xf numFmtId="0" fontId="31" fillId="33" borderId="0" xfId="0" applyFont="1" applyFill="1" applyBorder="1" applyAlignment="1">
      <alignment horizontal="center" vertical="center" wrapText="1"/>
    </xf>
    <xf numFmtId="0" fontId="31" fillId="33" borderId="28" xfId="0" applyFont="1" applyFill="1" applyBorder="1" applyAlignment="1">
      <alignment horizontal="center" vertical="center" textRotation="90" wrapText="1"/>
    </xf>
    <xf numFmtId="166" fontId="30" fillId="33" borderId="10" xfId="43" applyNumberFormat="1" applyFont="1" applyFill="1" applyBorder="1" applyAlignment="1">
      <alignment horizontal="center" vertical="center" wrapText="1"/>
    </xf>
    <xf numFmtId="0" fontId="30" fillId="33" borderId="28" xfId="0" applyFont="1" applyFill="1" applyBorder="1" applyAlignment="1">
      <alignment horizontal="center" vertical="center" wrapText="1"/>
    </xf>
    <xf numFmtId="0" fontId="31" fillId="33" borderId="28" xfId="0" applyFont="1" applyFill="1" applyBorder="1" applyAlignment="1">
      <alignment horizontal="center" vertical="center" textRotation="90" wrapText="1"/>
    </xf>
    <xf numFmtId="166" fontId="30" fillId="33" borderId="28" xfId="43" applyNumberFormat="1" applyFont="1" applyFill="1" applyBorder="1" applyAlignment="1">
      <alignment horizontal="center" vertical="center" wrapText="1"/>
    </xf>
    <xf numFmtId="0" fontId="30" fillId="33" borderId="28" xfId="0" applyFont="1" applyFill="1" applyBorder="1" applyAlignment="1">
      <alignment horizontal="center" vertical="center" wrapText="1"/>
    </xf>
    <xf numFmtId="9" fontId="30" fillId="33" borderId="28" xfId="0" applyNumberFormat="1" applyFont="1" applyFill="1" applyBorder="1" applyAlignment="1">
      <alignment horizontal="center" vertical="center" wrapText="1"/>
    </xf>
    <xf numFmtId="166" fontId="30" fillId="33" borderId="29" xfId="43" applyNumberFormat="1" applyFont="1" applyFill="1" applyBorder="1" applyAlignment="1">
      <alignment horizontal="center" vertical="center" wrapText="1"/>
    </xf>
    <xf numFmtId="166" fontId="30" fillId="33" borderId="11" xfId="43" applyNumberFormat="1" applyFont="1" applyFill="1" applyBorder="1" applyAlignment="1">
      <alignment horizontal="center" vertical="center" wrapText="1"/>
    </xf>
    <xf numFmtId="166" fontId="30" fillId="33" borderId="10" xfId="43" applyNumberFormat="1" applyFont="1" applyFill="1" applyBorder="1" applyAlignment="1">
      <alignment horizontal="center" vertical="center" wrapText="1"/>
    </xf>
    <xf numFmtId="0" fontId="30" fillId="33" borderId="29" xfId="0" applyFont="1" applyFill="1" applyBorder="1" applyAlignment="1">
      <alignment horizontal="center" vertical="center" wrapText="1"/>
    </xf>
    <xf numFmtId="0" fontId="30" fillId="33" borderId="11" xfId="0" applyFont="1" applyFill="1" applyBorder="1" applyAlignment="1">
      <alignment horizontal="center" vertical="center" wrapText="1"/>
    </xf>
    <xf numFmtId="0" fontId="30" fillId="33" borderId="10" xfId="0" applyFont="1" applyFill="1" applyBorder="1" applyAlignment="1">
      <alignment horizontal="center" vertical="center" wrapText="1"/>
    </xf>
    <xf numFmtId="0" fontId="31" fillId="33" borderId="28" xfId="0" applyFont="1" applyFill="1" applyBorder="1" applyAlignment="1">
      <alignment horizontal="center" vertical="center"/>
    </xf>
    <xf numFmtId="0" fontId="31" fillId="33" borderId="28" xfId="0" applyFont="1" applyFill="1" applyBorder="1" applyAlignment="1">
      <alignment horizontal="center" vertical="center" textRotation="90"/>
    </xf>
    <xf numFmtId="166" fontId="30" fillId="33" borderId="28" xfId="43" applyNumberFormat="1" applyFont="1" applyFill="1" applyBorder="1" applyAlignment="1">
      <alignment horizontal="center" vertical="top" wrapText="1"/>
    </xf>
    <xf numFmtId="0" fontId="31" fillId="33" borderId="29" xfId="0" applyFont="1" applyFill="1" applyBorder="1" applyAlignment="1">
      <alignment horizontal="center" vertical="center" textRotation="90" wrapText="1"/>
    </xf>
    <xf numFmtId="0" fontId="31" fillId="33" borderId="11" xfId="0" applyFont="1" applyFill="1" applyBorder="1" applyAlignment="1">
      <alignment horizontal="center" vertical="center" textRotation="90" wrapText="1"/>
    </xf>
    <xf numFmtId="0" fontId="31" fillId="33" borderId="10" xfId="0" applyFont="1" applyFill="1" applyBorder="1" applyAlignment="1">
      <alignment horizontal="center" vertical="center" textRotation="90" wrapText="1"/>
    </xf>
    <xf numFmtId="9" fontId="30" fillId="33" borderId="28" xfId="42" applyFont="1" applyFill="1" applyBorder="1" applyAlignment="1">
      <alignment horizontal="center" vertical="center" wrapText="1"/>
    </xf>
    <xf numFmtId="0" fontId="30" fillId="33" borderId="28" xfId="398" applyFont="1" applyFill="1" applyBorder="1" applyAlignment="1">
      <alignment horizontal="center" vertical="center" wrapText="1"/>
    </xf>
    <xf numFmtId="3" fontId="30" fillId="33" borderId="28" xfId="0" applyNumberFormat="1" applyFont="1" applyFill="1" applyBorder="1" applyAlignment="1">
      <alignment horizontal="center" vertical="center" wrapText="1"/>
    </xf>
    <xf numFmtId="0" fontId="30" fillId="33" borderId="29" xfId="44" applyFont="1" applyFill="1" applyBorder="1" applyAlignment="1">
      <alignment horizontal="center" vertical="center" wrapText="1"/>
    </xf>
    <xf numFmtId="0" fontId="30" fillId="33" borderId="11" xfId="44" applyFont="1" applyFill="1" applyBorder="1" applyAlignment="1">
      <alignment horizontal="center" vertical="center" wrapText="1"/>
    </xf>
    <xf numFmtId="0" fontId="30" fillId="33" borderId="28" xfId="44" applyFont="1" applyFill="1" applyBorder="1" applyAlignment="1">
      <alignment horizontal="center" vertical="center" wrapText="1"/>
    </xf>
    <xf numFmtId="0" fontId="30" fillId="33" borderId="10" xfId="44"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30" xfId="0" applyFont="1" applyFill="1" applyBorder="1" applyAlignment="1">
      <alignment horizontal="center" vertical="center"/>
    </xf>
    <xf numFmtId="0" fontId="31" fillId="33" borderId="31" xfId="0" applyFont="1" applyFill="1" applyBorder="1" applyAlignment="1">
      <alignment horizontal="center" vertical="center"/>
    </xf>
    <xf numFmtId="0" fontId="31" fillId="33" borderId="32" xfId="0" applyFont="1" applyFill="1" applyBorder="1" applyAlignment="1">
      <alignment horizontal="center" vertical="center"/>
    </xf>
    <xf numFmtId="0" fontId="31" fillId="33" borderId="33" xfId="0" applyFont="1" applyFill="1" applyBorder="1" applyAlignment="1">
      <alignment horizontal="center" vertical="center"/>
    </xf>
    <xf numFmtId="0" fontId="31" fillId="33" borderId="30" xfId="0" applyFont="1" applyFill="1" applyBorder="1" applyAlignment="1">
      <alignment horizontal="center" vertical="center" wrapText="1"/>
    </xf>
    <xf numFmtId="0" fontId="31" fillId="33" borderId="31" xfId="0" applyFont="1" applyFill="1" applyBorder="1" applyAlignment="1">
      <alignment horizontal="center" vertical="center" wrapText="1"/>
    </xf>
    <xf numFmtId="0" fontId="65" fillId="33" borderId="28" xfId="0" applyFont="1" applyFill="1" applyBorder="1" applyAlignment="1">
      <alignment horizontal="center" vertical="center" wrapText="1"/>
    </xf>
    <xf numFmtId="0" fontId="65" fillId="33" borderId="29" xfId="0" applyFont="1" applyFill="1" applyBorder="1" applyAlignment="1">
      <alignment horizontal="center" vertical="center" wrapText="1"/>
    </xf>
    <xf numFmtId="0" fontId="65" fillId="33" borderId="10" xfId="0" applyFont="1" applyFill="1" applyBorder="1" applyAlignment="1">
      <alignment horizontal="center" vertical="center" wrapText="1"/>
    </xf>
    <xf numFmtId="166" fontId="37" fillId="33" borderId="28" xfId="43" applyNumberFormat="1" applyFont="1" applyFill="1" applyBorder="1" applyAlignment="1">
      <alignment horizontal="center" vertical="center"/>
    </xf>
    <xf numFmtId="166" fontId="37" fillId="33" borderId="28" xfId="43" applyNumberFormat="1" applyFont="1" applyFill="1" applyBorder="1" applyAlignment="1">
      <alignment horizontal="center" vertical="center"/>
    </xf>
    <xf numFmtId="166" fontId="31" fillId="33" borderId="28" xfId="43" applyNumberFormat="1" applyFont="1" applyFill="1" applyBorder="1" applyAlignment="1">
      <alignment horizontal="center" vertical="center"/>
    </xf>
    <xf numFmtId="166" fontId="31" fillId="33" borderId="28" xfId="43" applyNumberFormat="1" applyFont="1" applyFill="1" applyBorder="1" applyAlignment="1">
      <alignment horizontal="center" vertical="center" wrapText="1"/>
    </xf>
    <xf numFmtId="4" fontId="30" fillId="33" borderId="28" xfId="0" applyNumberFormat="1" applyFont="1" applyFill="1" applyBorder="1" applyAlignment="1">
      <alignment horizontal="center" vertical="center"/>
    </xf>
    <xf numFmtId="10" fontId="30" fillId="33" borderId="28" xfId="0" applyNumberFormat="1" applyFont="1" applyFill="1" applyBorder="1" applyAlignment="1">
      <alignment horizontal="center" vertical="center" wrapText="1"/>
    </xf>
    <xf numFmtId="9" fontId="31" fillId="33" borderId="28" xfId="0" applyNumberFormat="1" applyFont="1" applyFill="1" applyBorder="1" applyAlignment="1">
      <alignment horizontal="center" vertical="center" wrapText="1"/>
    </xf>
    <xf numFmtId="0" fontId="30" fillId="33" borderId="28" xfId="0" applyFont="1" applyFill="1" applyBorder="1" applyAlignment="1">
      <alignment horizontal="justify" vertical="center" wrapText="1"/>
    </xf>
    <xf numFmtId="0" fontId="30" fillId="33" borderId="28" xfId="0" applyFont="1" applyFill="1" applyBorder="1" applyAlignment="1">
      <alignment horizontal="justify" vertical="justify" wrapText="1"/>
    </xf>
    <xf numFmtId="9" fontId="31" fillId="33" borderId="28" xfId="42" applyFont="1" applyFill="1" applyBorder="1" applyAlignment="1">
      <alignment horizontal="center" vertical="center" wrapText="1"/>
    </xf>
    <xf numFmtId="168" fontId="31" fillId="33" borderId="28" xfId="42" applyNumberFormat="1" applyFont="1" applyFill="1" applyBorder="1" applyAlignment="1">
      <alignment horizontal="center" vertical="center" wrapText="1"/>
    </xf>
    <xf numFmtId="9" fontId="31" fillId="33" borderId="28" xfId="42" applyNumberFormat="1"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0" fillId="33" borderId="45" xfId="0" applyFont="1" applyFill="1" applyBorder="1" applyAlignment="1">
      <alignment horizontal="center" vertical="center" wrapText="1"/>
    </xf>
    <xf numFmtId="0" fontId="30" fillId="33" borderId="28" xfId="0" applyFont="1" applyFill="1" applyBorder="1" applyAlignment="1">
      <alignment horizontal="left" vertical="center" wrapText="1"/>
    </xf>
    <xf numFmtId="2" fontId="30" fillId="33" borderId="28" xfId="0" applyNumberFormat="1" applyFont="1" applyFill="1" applyBorder="1" applyAlignment="1">
      <alignment horizontal="center" vertical="center" wrapText="1"/>
    </xf>
    <xf numFmtId="0" fontId="30" fillId="33" borderId="28" xfId="0" applyFont="1" applyFill="1" applyBorder="1" applyAlignment="1">
      <alignment horizontal="justify" vertical="justify"/>
    </xf>
    <xf numFmtId="0" fontId="30" fillId="33" borderId="28" xfId="0" applyFont="1" applyFill="1" applyBorder="1" applyAlignment="1">
      <alignment horizontal="center" vertical="justify"/>
    </xf>
    <xf numFmtId="0" fontId="30" fillId="33" borderId="28" xfId="44" applyFont="1" applyFill="1" applyBorder="1" applyAlignment="1">
      <alignment horizontal="left" vertical="center" wrapText="1"/>
    </xf>
    <xf numFmtId="0" fontId="30" fillId="33" borderId="0" xfId="0" applyFont="1" applyFill="1" applyAlignment="1">
      <alignment horizontal="justify" vertical="top" wrapText="1"/>
    </xf>
    <xf numFmtId="0" fontId="0" fillId="33" borderId="0" xfId="0" applyFont="1" applyFill="1">
      <alignment vertical="top" wrapText="1"/>
    </xf>
    <xf numFmtId="0" fontId="31" fillId="33" borderId="29" xfId="0" applyFont="1" applyFill="1" applyBorder="1" applyAlignment="1">
      <alignment horizontal="center" vertical="center" wrapText="1"/>
    </xf>
    <xf numFmtId="0" fontId="31" fillId="33" borderId="10" xfId="0" applyFont="1" applyFill="1" applyBorder="1" applyAlignment="1">
      <alignment horizontal="center" vertical="center" wrapText="1"/>
    </xf>
    <xf numFmtId="166" fontId="31" fillId="33" borderId="28" xfId="43" applyNumberFormat="1" applyFont="1" applyFill="1" applyBorder="1" applyAlignment="1">
      <alignment horizontal="center" vertical="center"/>
    </xf>
    <xf numFmtId="166" fontId="31" fillId="33" borderId="47" xfId="43" applyNumberFormat="1" applyFont="1" applyFill="1" applyBorder="1" applyAlignment="1">
      <alignment horizontal="center" vertical="center" wrapText="1"/>
    </xf>
    <xf numFmtId="0" fontId="31" fillId="33" borderId="48" xfId="0" applyFont="1" applyFill="1" applyBorder="1" applyAlignment="1">
      <alignment horizontal="center" vertical="center" wrapText="1"/>
    </xf>
    <xf numFmtId="166" fontId="31" fillId="33" borderId="28" xfId="43" applyNumberFormat="1" applyFont="1" applyFill="1" applyBorder="1" applyAlignment="1">
      <alignment vertical="center" wrapText="1"/>
    </xf>
    <xf numFmtId="164" fontId="31" fillId="33" borderId="28" xfId="43" applyNumberFormat="1" applyFont="1" applyFill="1" applyBorder="1" applyAlignment="1">
      <alignment horizontal="center" vertical="center" wrapText="1"/>
    </xf>
    <xf numFmtId="166" fontId="31" fillId="33" borderId="46" xfId="43" applyNumberFormat="1" applyFont="1" applyFill="1" applyBorder="1" applyAlignment="1">
      <alignment vertical="center" wrapText="1"/>
    </xf>
    <xf numFmtId="166" fontId="31" fillId="33" borderId="28" xfId="43" applyNumberFormat="1" applyFont="1" applyFill="1" applyBorder="1" applyAlignment="1">
      <alignment vertical="center"/>
    </xf>
    <xf numFmtId="166" fontId="31" fillId="33" borderId="29" xfId="43" applyNumberFormat="1" applyFont="1" applyFill="1" applyBorder="1" applyAlignment="1">
      <alignment horizontal="center" vertical="center" wrapText="1"/>
    </xf>
    <xf numFmtId="4" fontId="31" fillId="33" borderId="29" xfId="43" applyNumberFormat="1" applyFont="1" applyFill="1" applyBorder="1" applyAlignment="1">
      <alignment horizontal="center" vertical="center" wrapText="1"/>
    </xf>
    <xf numFmtId="166" fontId="31" fillId="33" borderId="10" xfId="43" applyNumberFormat="1" applyFont="1" applyFill="1" applyBorder="1" applyAlignment="1">
      <alignment horizontal="center" vertical="center" wrapText="1"/>
    </xf>
    <xf numFmtId="4" fontId="31" fillId="33" borderId="10" xfId="43" applyNumberFormat="1" applyFont="1" applyFill="1" applyBorder="1" applyAlignment="1">
      <alignment horizontal="center" vertical="center" wrapText="1"/>
    </xf>
    <xf numFmtId="0" fontId="70" fillId="33" borderId="28" xfId="0" applyFont="1" applyFill="1" applyBorder="1" applyAlignment="1">
      <alignment horizontal="center" vertical="center" wrapText="1"/>
    </xf>
    <xf numFmtId="0" fontId="71" fillId="33" borderId="0" xfId="0" applyFont="1" applyFill="1" applyAlignment="1">
      <alignment horizontal="center" vertical="center" wrapText="1"/>
    </xf>
  </cellXfs>
  <cellStyles count="763">
    <cellStyle name="????" xfId="68"/>
    <cellStyle name="?????" xfId="69"/>
    <cellStyle name="????????" xfId="70"/>
    <cellStyle name="?????????????" xfId="71"/>
    <cellStyle name="??????????_BOPENGC" xfId="72"/>
    <cellStyle name="?????????1" xfId="73"/>
    <cellStyle name="?????????2" xfId="74"/>
    <cellStyle name="????????_BOPENGC" xfId="75"/>
    <cellStyle name="???????_BOPENGC" xfId="76"/>
    <cellStyle name="_A_Base Compara" xfId="77"/>
    <cellStyle name="20% - Énfasis1" xfId="19" builtinId="30" customBuiltin="1"/>
    <cellStyle name="20% - Énfasis1 2" xfId="50"/>
    <cellStyle name="20% - Énfasis1 2 2" xfId="312"/>
    <cellStyle name="20% - Énfasis1 2 2 2" xfId="504"/>
    <cellStyle name="20% - Énfasis1 2 2 3" xfId="676"/>
    <cellStyle name="20% - Énfasis1 2 3" xfId="368"/>
    <cellStyle name="20% - Énfasis1 2 3 2" xfId="560"/>
    <cellStyle name="20% - Énfasis1 2 3 3" xfId="723"/>
    <cellStyle name="20% - Énfasis1 2 4" xfId="421"/>
    <cellStyle name="20% - Énfasis1 2 5" xfId="622"/>
    <cellStyle name="20% - Énfasis1 3" xfId="78"/>
    <cellStyle name="20% - Énfasis1 3 2" xfId="326"/>
    <cellStyle name="20% - Énfasis1 3 2 2" xfId="518"/>
    <cellStyle name="20% - Énfasis1 3 2 3" xfId="690"/>
    <cellStyle name="20% - Énfasis1 3 3" xfId="382"/>
    <cellStyle name="20% - Énfasis1 3 3 2" xfId="574"/>
    <cellStyle name="20% - Énfasis1 3 3 3" xfId="737"/>
    <cellStyle name="20% - Énfasis1 3 4" xfId="436"/>
    <cellStyle name="20% - Énfasis1 3 5" xfId="637"/>
    <cellStyle name="20% - Énfasis1 4" xfId="296"/>
    <cellStyle name="20% - Énfasis1 4 2" xfId="488"/>
    <cellStyle name="20% - Énfasis1 4 3" xfId="660"/>
    <cellStyle name="20% - Énfasis1 5" xfId="352"/>
    <cellStyle name="20% - Énfasis1 5 2" xfId="544"/>
    <cellStyle name="20% - Énfasis1 5 3" xfId="707"/>
    <cellStyle name="20% - Énfasis1 6" xfId="404"/>
    <cellStyle name="20% - Énfasis1 7" xfId="606"/>
    <cellStyle name="20% - Énfasis2" xfId="23" builtinId="34" customBuiltin="1"/>
    <cellStyle name="20% - Énfasis2 2" xfId="52"/>
    <cellStyle name="20% - Énfasis2 2 2" xfId="314"/>
    <cellStyle name="20% - Énfasis2 2 2 2" xfId="506"/>
    <cellStyle name="20% - Énfasis2 2 2 3" xfId="678"/>
    <cellStyle name="20% - Énfasis2 2 3" xfId="370"/>
    <cellStyle name="20% - Énfasis2 2 3 2" xfId="562"/>
    <cellStyle name="20% - Énfasis2 2 3 3" xfId="725"/>
    <cellStyle name="20% - Énfasis2 2 4" xfId="423"/>
    <cellStyle name="20% - Énfasis2 2 5" xfId="624"/>
    <cellStyle name="20% - Énfasis2 3" xfId="79"/>
    <cellStyle name="20% - Énfasis2 3 2" xfId="327"/>
    <cellStyle name="20% - Énfasis2 3 2 2" xfId="519"/>
    <cellStyle name="20% - Énfasis2 3 2 3" xfId="691"/>
    <cellStyle name="20% - Énfasis2 3 3" xfId="383"/>
    <cellStyle name="20% - Énfasis2 3 3 2" xfId="575"/>
    <cellStyle name="20% - Énfasis2 3 3 3" xfId="738"/>
    <cellStyle name="20% - Énfasis2 3 4" xfId="437"/>
    <cellStyle name="20% - Énfasis2 3 5" xfId="638"/>
    <cellStyle name="20% - Énfasis2 4" xfId="298"/>
    <cellStyle name="20% - Énfasis2 4 2" xfId="490"/>
    <cellStyle name="20% - Énfasis2 4 3" xfId="662"/>
    <cellStyle name="20% - Énfasis2 5" xfId="354"/>
    <cellStyle name="20% - Énfasis2 5 2" xfId="546"/>
    <cellStyle name="20% - Énfasis2 5 3" xfId="709"/>
    <cellStyle name="20% - Énfasis2 6" xfId="406"/>
    <cellStyle name="20% - Énfasis2 7" xfId="608"/>
    <cellStyle name="20% - Énfasis3" xfId="27" builtinId="38" customBuiltin="1"/>
    <cellStyle name="20% - Énfasis3 2" xfId="54"/>
    <cellStyle name="20% - Énfasis3 2 2" xfId="316"/>
    <cellStyle name="20% - Énfasis3 2 2 2" xfId="508"/>
    <cellStyle name="20% - Énfasis3 2 2 3" xfId="680"/>
    <cellStyle name="20% - Énfasis3 2 3" xfId="372"/>
    <cellStyle name="20% - Énfasis3 2 3 2" xfId="564"/>
    <cellStyle name="20% - Énfasis3 2 3 3" xfId="727"/>
    <cellStyle name="20% - Énfasis3 2 4" xfId="425"/>
    <cellStyle name="20% - Énfasis3 2 5" xfId="626"/>
    <cellStyle name="20% - Énfasis3 3" xfId="80"/>
    <cellStyle name="20% - Énfasis3 3 2" xfId="328"/>
    <cellStyle name="20% - Énfasis3 3 2 2" xfId="520"/>
    <cellStyle name="20% - Énfasis3 3 2 3" xfId="692"/>
    <cellStyle name="20% - Énfasis3 3 3" xfId="384"/>
    <cellStyle name="20% - Énfasis3 3 3 2" xfId="576"/>
    <cellStyle name="20% - Énfasis3 3 3 3" xfId="739"/>
    <cellStyle name="20% - Énfasis3 3 4" xfId="438"/>
    <cellStyle name="20% - Énfasis3 3 5" xfId="639"/>
    <cellStyle name="20% - Énfasis3 4" xfId="300"/>
    <cellStyle name="20% - Énfasis3 4 2" xfId="492"/>
    <cellStyle name="20% - Énfasis3 4 3" xfId="664"/>
    <cellStyle name="20% - Énfasis3 5" xfId="356"/>
    <cellStyle name="20% - Énfasis3 5 2" xfId="548"/>
    <cellStyle name="20% - Énfasis3 5 3" xfId="711"/>
    <cellStyle name="20% - Énfasis3 6" xfId="408"/>
    <cellStyle name="20% - Énfasis3 7" xfId="610"/>
    <cellStyle name="20% - Énfasis4" xfId="31" builtinId="42" customBuiltin="1"/>
    <cellStyle name="20% - Énfasis4 2" xfId="56"/>
    <cellStyle name="20% - Énfasis4 2 2" xfId="318"/>
    <cellStyle name="20% - Énfasis4 2 2 2" xfId="510"/>
    <cellStyle name="20% - Énfasis4 2 2 3" xfId="682"/>
    <cellStyle name="20% - Énfasis4 2 3" xfId="374"/>
    <cellStyle name="20% - Énfasis4 2 3 2" xfId="566"/>
    <cellStyle name="20% - Énfasis4 2 3 3" xfId="729"/>
    <cellStyle name="20% - Énfasis4 2 4" xfId="427"/>
    <cellStyle name="20% - Énfasis4 2 5" xfId="628"/>
    <cellStyle name="20% - Énfasis4 3" xfId="81"/>
    <cellStyle name="20% - Énfasis4 3 2" xfId="329"/>
    <cellStyle name="20% - Énfasis4 3 2 2" xfId="521"/>
    <cellStyle name="20% - Énfasis4 3 2 3" xfId="693"/>
    <cellStyle name="20% - Énfasis4 3 3" xfId="385"/>
    <cellStyle name="20% - Énfasis4 3 3 2" xfId="577"/>
    <cellStyle name="20% - Énfasis4 3 3 3" xfId="740"/>
    <cellStyle name="20% - Énfasis4 3 4" xfId="439"/>
    <cellStyle name="20% - Énfasis4 3 5" xfId="640"/>
    <cellStyle name="20% - Énfasis4 4" xfId="302"/>
    <cellStyle name="20% - Énfasis4 4 2" xfId="494"/>
    <cellStyle name="20% - Énfasis4 4 3" xfId="666"/>
    <cellStyle name="20% - Énfasis4 5" xfId="358"/>
    <cellStyle name="20% - Énfasis4 5 2" xfId="550"/>
    <cellStyle name="20% - Énfasis4 5 3" xfId="713"/>
    <cellStyle name="20% - Énfasis4 6" xfId="410"/>
    <cellStyle name="20% - Énfasis4 7" xfId="612"/>
    <cellStyle name="20% - Énfasis5" xfId="35" builtinId="46" customBuiltin="1"/>
    <cellStyle name="20% - Énfasis5 2" xfId="58"/>
    <cellStyle name="20% - Énfasis5 2 2" xfId="320"/>
    <cellStyle name="20% - Énfasis5 2 2 2" xfId="512"/>
    <cellStyle name="20% - Énfasis5 2 2 3" xfId="684"/>
    <cellStyle name="20% - Énfasis5 2 3" xfId="376"/>
    <cellStyle name="20% - Énfasis5 2 3 2" xfId="568"/>
    <cellStyle name="20% - Énfasis5 2 3 3" xfId="731"/>
    <cellStyle name="20% - Énfasis5 2 4" xfId="429"/>
    <cellStyle name="20% - Énfasis5 2 5" xfId="630"/>
    <cellStyle name="20% - Énfasis5 3" xfId="82"/>
    <cellStyle name="20% - Énfasis5 3 2" xfId="330"/>
    <cellStyle name="20% - Énfasis5 3 2 2" xfId="522"/>
    <cellStyle name="20% - Énfasis5 3 2 3" xfId="694"/>
    <cellStyle name="20% - Énfasis5 3 3" xfId="386"/>
    <cellStyle name="20% - Énfasis5 3 3 2" xfId="578"/>
    <cellStyle name="20% - Énfasis5 3 3 3" xfId="741"/>
    <cellStyle name="20% - Énfasis5 3 4" xfId="440"/>
    <cellStyle name="20% - Énfasis5 3 5" xfId="641"/>
    <cellStyle name="20% - Énfasis5 4" xfId="304"/>
    <cellStyle name="20% - Énfasis5 4 2" xfId="496"/>
    <cellStyle name="20% - Énfasis5 4 3" xfId="668"/>
    <cellStyle name="20% - Énfasis5 5" xfId="360"/>
    <cellStyle name="20% - Énfasis5 5 2" xfId="552"/>
    <cellStyle name="20% - Énfasis5 5 3" xfId="715"/>
    <cellStyle name="20% - Énfasis5 6" xfId="413"/>
    <cellStyle name="20% - Énfasis5 7" xfId="614"/>
    <cellStyle name="20% - Énfasis6" xfId="39" builtinId="50" customBuiltin="1"/>
    <cellStyle name="20% - Énfasis6 2" xfId="60"/>
    <cellStyle name="20% - Énfasis6 2 2" xfId="322"/>
    <cellStyle name="20% - Énfasis6 2 2 2" xfId="514"/>
    <cellStyle name="20% - Énfasis6 2 2 3" xfId="686"/>
    <cellStyle name="20% - Énfasis6 2 3" xfId="378"/>
    <cellStyle name="20% - Énfasis6 2 3 2" xfId="570"/>
    <cellStyle name="20% - Énfasis6 2 3 3" xfId="733"/>
    <cellStyle name="20% - Énfasis6 2 4" xfId="431"/>
    <cellStyle name="20% - Énfasis6 2 5" xfId="632"/>
    <cellStyle name="20% - Énfasis6 3" xfId="83"/>
    <cellStyle name="20% - Énfasis6 3 2" xfId="331"/>
    <cellStyle name="20% - Énfasis6 3 2 2" xfId="523"/>
    <cellStyle name="20% - Énfasis6 3 2 3" xfId="695"/>
    <cellStyle name="20% - Énfasis6 3 3" xfId="387"/>
    <cellStyle name="20% - Énfasis6 3 3 2" xfId="579"/>
    <cellStyle name="20% - Énfasis6 3 3 3" xfId="742"/>
    <cellStyle name="20% - Énfasis6 3 4" xfId="441"/>
    <cellStyle name="20% - Énfasis6 3 5" xfId="642"/>
    <cellStyle name="20% - Énfasis6 4" xfId="306"/>
    <cellStyle name="20% - Énfasis6 4 2" xfId="498"/>
    <cellStyle name="20% - Énfasis6 4 3" xfId="670"/>
    <cellStyle name="20% - Énfasis6 5" xfId="362"/>
    <cellStyle name="20% - Énfasis6 5 2" xfId="554"/>
    <cellStyle name="20% - Énfasis6 5 3" xfId="717"/>
    <cellStyle name="20% - Énfasis6 6" xfId="415"/>
    <cellStyle name="20% - Énfasis6 7" xfId="616"/>
    <cellStyle name="40% - Énfasis1" xfId="20" builtinId="31" customBuiltin="1"/>
    <cellStyle name="40% - Énfasis1 2" xfId="51"/>
    <cellStyle name="40% - Énfasis1 2 2" xfId="313"/>
    <cellStyle name="40% - Énfasis1 2 2 2" xfId="505"/>
    <cellStyle name="40% - Énfasis1 2 2 3" xfId="677"/>
    <cellStyle name="40% - Énfasis1 2 3" xfId="369"/>
    <cellStyle name="40% - Énfasis1 2 3 2" xfId="561"/>
    <cellStyle name="40% - Énfasis1 2 3 3" xfId="724"/>
    <cellStyle name="40% - Énfasis1 2 4" xfId="422"/>
    <cellStyle name="40% - Énfasis1 2 5" xfId="623"/>
    <cellStyle name="40% - Énfasis1 3" xfId="84"/>
    <cellStyle name="40% - Énfasis1 3 2" xfId="332"/>
    <cellStyle name="40% - Énfasis1 3 2 2" xfId="524"/>
    <cellStyle name="40% - Énfasis1 3 2 3" xfId="696"/>
    <cellStyle name="40% - Énfasis1 3 3" xfId="388"/>
    <cellStyle name="40% - Énfasis1 3 3 2" xfId="580"/>
    <cellStyle name="40% - Énfasis1 3 3 3" xfId="743"/>
    <cellStyle name="40% - Énfasis1 3 4" xfId="442"/>
    <cellStyle name="40% - Énfasis1 3 5" xfId="643"/>
    <cellStyle name="40% - Énfasis1 4" xfId="297"/>
    <cellStyle name="40% - Énfasis1 4 2" xfId="489"/>
    <cellStyle name="40% - Énfasis1 4 3" xfId="661"/>
    <cellStyle name="40% - Énfasis1 5" xfId="353"/>
    <cellStyle name="40% - Énfasis1 5 2" xfId="545"/>
    <cellStyle name="40% - Énfasis1 5 3" xfId="708"/>
    <cellStyle name="40% - Énfasis1 6" xfId="405"/>
    <cellStyle name="40% - Énfasis1 7" xfId="607"/>
    <cellStyle name="40% - Énfasis2" xfId="24" builtinId="35" customBuiltin="1"/>
    <cellStyle name="40% - Énfasis2 2" xfId="53"/>
    <cellStyle name="40% - Énfasis2 2 2" xfId="315"/>
    <cellStyle name="40% - Énfasis2 2 2 2" xfId="507"/>
    <cellStyle name="40% - Énfasis2 2 2 3" xfId="679"/>
    <cellStyle name="40% - Énfasis2 2 3" xfId="371"/>
    <cellStyle name="40% - Énfasis2 2 3 2" xfId="563"/>
    <cellStyle name="40% - Énfasis2 2 3 3" xfId="726"/>
    <cellStyle name="40% - Énfasis2 2 4" xfId="424"/>
    <cellStyle name="40% - Énfasis2 2 5" xfId="625"/>
    <cellStyle name="40% - Énfasis2 3" xfId="85"/>
    <cellStyle name="40% - Énfasis2 3 2" xfId="333"/>
    <cellStyle name="40% - Énfasis2 3 2 2" xfId="525"/>
    <cellStyle name="40% - Énfasis2 3 2 3" xfId="697"/>
    <cellStyle name="40% - Énfasis2 3 3" xfId="389"/>
    <cellStyle name="40% - Énfasis2 3 3 2" xfId="581"/>
    <cellStyle name="40% - Énfasis2 3 3 3" xfId="744"/>
    <cellStyle name="40% - Énfasis2 3 4" xfId="443"/>
    <cellStyle name="40% - Énfasis2 3 5" xfId="644"/>
    <cellStyle name="40% - Énfasis2 4" xfId="299"/>
    <cellStyle name="40% - Énfasis2 4 2" xfId="491"/>
    <cellStyle name="40% - Énfasis2 4 3" xfId="663"/>
    <cellStyle name="40% - Énfasis2 5" xfId="355"/>
    <cellStyle name="40% - Énfasis2 5 2" xfId="547"/>
    <cellStyle name="40% - Énfasis2 5 3" xfId="710"/>
    <cellStyle name="40% - Énfasis2 6" xfId="407"/>
    <cellStyle name="40% - Énfasis2 7" xfId="609"/>
    <cellStyle name="40% - Énfasis3" xfId="28" builtinId="39" customBuiltin="1"/>
    <cellStyle name="40% - Énfasis3 2" xfId="55"/>
    <cellStyle name="40% - Énfasis3 2 2" xfId="317"/>
    <cellStyle name="40% - Énfasis3 2 2 2" xfId="509"/>
    <cellStyle name="40% - Énfasis3 2 2 3" xfId="681"/>
    <cellStyle name="40% - Énfasis3 2 3" xfId="373"/>
    <cellStyle name="40% - Énfasis3 2 3 2" xfId="565"/>
    <cellStyle name="40% - Énfasis3 2 3 3" xfId="728"/>
    <cellStyle name="40% - Énfasis3 2 4" xfId="426"/>
    <cellStyle name="40% - Énfasis3 2 5" xfId="627"/>
    <cellStyle name="40% - Énfasis3 3" xfId="86"/>
    <cellStyle name="40% - Énfasis3 3 2" xfId="334"/>
    <cellStyle name="40% - Énfasis3 3 2 2" xfId="526"/>
    <cellStyle name="40% - Énfasis3 3 2 3" xfId="698"/>
    <cellStyle name="40% - Énfasis3 3 3" xfId="390"/>
    <cellStyle name="40% - Énfasis3 3 3 2" xfId="582"/>
    <cellStyle name="40% - Énfasis3 3 3 3" xfId="745"/>
    <cellStyle name="40% - Énfasis3 3 4" xfId="444"/>
    <cellStyle name="40% - Énfasis3 3 5" xfId="645"/>
    <cellStyle name="40% - Énfasis3 4" xfId="301"/>
    <cellStyle name="40% - Énfasis3 4 2" xfId="493"/>
    <cellStyle name="40% - Énfasis3 4 3" xfId="665"/>
    <cellStyle name="40% - Énfasis3 5" xfId="357"/>
    <cellStyle name="40% - Énfasis3 5 2" xfId="549"/>
    <cellStyle name="40% - Énfasis3 5 3" xfId="712"/>
    <cellStyle name="40% - Énfasis3 6" xfId="409"/>
    <cellStyle name="40% - Énfasis3 7" xfId="611"/>
    <cellStyle name="40% - Énfasis4" xfId="32" builtinId="43" customBuiltin="1"/>
    <cellStyle name="40% - Énfasis4 2" xfId="57"/>
    <cellStyle name="40% - Énfasis4 2 2" xfId="319"/>
    <cellStyle name="40% - Énfasis4 2 2 2" xfId="511"/>
    <cellStyle name="40% - Énfasis4 2 2 3" xfId="683"/>
    <cellStyle name="40% - Énfasis4 2 3" xfId="375"/>
    <cellStyle name="40% - Énfasis4 2 3 2" xfId="567"/>
    <cellStyle name="40% - Énfasis4 2 3 3" xfId="730"/>
    <cellStyle name="40% - Énfasis4 2 4" xfId="428"/>
    <cellStyle name="40% - Énfasis4 2 5" xfId="629"/>
    <cellStyle name="40% - Énfasis4 3" xfId="87"/>
    <cellStyle name="40% - Énfasis4 3 2" xfId="335"/>
    <cellStyle name="40% - Énfasis4 3 2 2" xfId="527"/>
    <cellStyle name="40% - Énfasis4 3 2 3" xfId="699"/>
    <cellStyle name="40% - Énfasis4 3 3" xfId="391"/>
    <cellStyle name="40% - Énfasis4 3 3 2" xfId="583"/>
    <cellStyle name="40% - Énfasis4 3 3 3" xfId="746"/>
    <cellStyle name="40% - Énfasis4 3 4" xfId="445"/>
    <cellStyle name="40% - Énfasis4 3 5" xfId="646"/>
    <cellStyle name="40% - Énfasis4 4" xfId="303"/>
    <cellStyle name="40% - Énfasis4 4 2" xfId="495"/>
    <cellStyle name="40% - Énfasis4 4 3" xfId="667"/>
    <cellStyle name="40% - Énfasis4 5" xfId="359"/>
    <cellStyle name="40% - Énfasis4 5 2" xfId="551"/>
    <cellStyle name="40% - Énfasis4 5 3" xfId="714"/>
    <cellStyle name="40% - Énfasis4 6" xfId="411"/>
    <cellStyle name="40% - Énfasis4 7" xfId="613"/>
    <cellStyle name="40% - Énfasis5" xfId="36" builtinId="47" customBuiltin="1"/>
    <cellStyle name="40% - Énfasis5 2" xfId="59"/>
    <cellStyle name="40% - Énfasis5 2 2" xfId="321"/>
    <cellStyle name="40% - Énfasis5 2 2 2" xfId="513"/>
    <cellStyle name="40% - Énfasis5 2 2 3" xfId="685"/>
    <cellStyle name="40% - Énfasis5 2 3" xfId="377"/>
    <cellStyle name="40% - Énfasis5 2 3 2" xfId="569"/>
    <cellStyle name="40% - Énfasis5 2 3 3" xfId="732"/>
    <cellStyle name="40% - Énfasis5 2 4" xfId="430"/>
    <cellStyle name="40% - Énfasis5 2 5" xfId="631"/>
    <cellStyle name="40% - Énfasis5 3" xfId="88"/>
    <cellStyle name="40% - Énfasis5 3 2" xfId="336"/>
    <cellStyle name="40% - Énfasis5 3 2 2" xfId="528"/>
    <cellStyle name="40% - Énfasis5 3 2 3" xfId="700"/>
    <cellStyle name="40% - Énfasis5 3 3" xfId="392"/>
    <cellStyle name="40% - Énfasis5 3 3 2" xfId="584"/>
    <cellStyle name="40% - Énfasis5 3 3 3" xfId="747"/>
    <cellStyle name="40% - Énfasis5 3 4" xfId="446"/>
    <cellStyle name="40% - Énfasis5 3 5" xfId="647"/>
    <cellStyle name="40% - Énfasis5 4" xfId="305"/>
    <cellStyle name="40% - Énfasis5 4 2" xfId="497"/>
    <cellStyle name="40% - Énfasis5 4 3" xfId="669"/>
    <cellStyle name="40% - Énfasis5 5" xfId="361"/>
    <cellStyle name="40% - Énfasis5 5 2" xfId="553"/>
    <cellStyle name="40% - Énfasis5 5 3" xfId="716"/>
    <cellStyle name="40% - Énfasis5 6" xfId="414"/>
    <cellStyle name="40% - Énfasis5 7" xfId="615"/>
    <cellStyle name="40% - Énfasis6" xfId="40" builtinId="51" customBuiltin="1"/>
    <cellStyle name="40% - Énfasis6 2" xfId="61"/>
    <cellStyle name="40% - Énfasis6 2 2" xfId="323"/>
    <cellStyle name="40% - Énfasis6 2 2 2" xfId="515"/>
    <cellStyle name="40% - Énfasis6 2 2 3" xfId="687"/>
    <cellStyle name="40% - Énfasis6 2 3" xfId="379"/>
    <cellStyle name="40% - Énfasis6 2 3 2" xfId="571"/>
    <cellStyle name="40% - Énfasis6 2 3 3" xfId="734"/>
    <cellStyle name="40% - Énfasis6 2 4" xfId="432"/>
    <cellStyle name="40% - Énfasis6 2 5" xfId="633"/>
    <cellStyle name="40% - Énfasis6 3" xfId="89"/>
    <cellStyle name="40% - Énfasis6 3 2" xfId="337"/>
    <cellStyle name="40% - Énfasis6 3 2 2" xfId="529"/>
    <cellStyle name="40% - Énfasis6 3 2 3" xfId="701"/>
    <cellStyle name="40% - Énfasis6 3 3" xfId="393"/>
    <cellStyle name="40% - Énfasis6 3 3 2" xfId="585"/>
    <cellStyle name="40% - Énfasis6 3 3 3" xfId="748"/>
    <cellStyle name="40% - Énfasis6 3 4" xfId="447"/>
    <cellStyle name="40% - Énfasis6 3 5" xfId="648"/>
    <cellStyle name="40% - Énfasis6 4" xfId="307"/>
    <cellStyle name="40% - Énfasis6 4 2" xfId="499"/>
    <cellStyle name="40% - Énfasis6 4 3" xfId="671"/>
    <cellStyle name="40% - Énfasis6 5" xfId="363"/>
    <cellStyle name="40% - Énfasis6 5 2" xfId="555"/>
    <cellStyle name="40% - Énfasis6 5 3" xfId="718"/>
    <cellStyle name="40% - Énfasis6 6" xfId="416"/>
    <cellStyle name="40% - Énfasis6 7" xfId="617"/>
    <cellStyle name="60% - Énfasis1" xfId="21" builtinId="32" customBuiltin="1"/>
    <cellStyle name="60% - Énfasis1 2" xfId="90"/>
    <cellStyle name="60% - Énfasis1 2 2" xfId="484"/>
    <cellStyle name="60% - Énfasis2" xfId="25" builtinId="36" customBuiltin="1"/>
    <cellStyle name="60% - Énfasis2 2" xfId="91"/>
    <cellStyle name="60% - Énfasis2 2 2" xfId="475"/>
    <cellStyle name="60% - Énfasis3" xfId="29" builtinId="40" customBuiltin="1"/>
    <cellStyle name="60% - Énfasis3 2" xfId="92"/>
    <cellStyle name="60% - Énfasis3 2 2" xfId="601"/>
    <cellStyle name="60% - Énfasis4" xfId="33" builtinId="44" customBuiltin="1"/>
    <cellStyle name="60% - Énfasis4 2" xfId="93"/>
    <cellStyle name="60% - Énfasis4 2 2" xfId="402"/>
    <cellStyle name="60% - Énfasis5" xfId="37" builtinId="48" customBuiltin="1"/>
    <cellStyle name="60% - Énfasis5 2" xfId="94"/>
    <cellStyle name="60% - Énfasis5 2 2" xfId="486"/>
    <cellStyle name="60% - Énfasis6" xfId="41" builtinId="52" customBuiltin="1"/>
    <cellStyle name="60% - Énfasis6 2" xfId="95"/>
    <cellStyle name="60% - Énfasis6 2 2" xfId="448"/>
    <cellStyle name="Buena" xfId="6" builtinId="26" customBuiltin="1"/>
    <cellStyle name="Buena 2" xfId="96"/>
    <cellStyle name="Buena 2 2" xfId="449"/>
    <cellStyle name="Cabecera 1" xfId="97"/>
    <cellStyle name="Cabecera 1 2" xfId="98"/>
    <cellStyle name="Cabecera 1 3" xfId="99"/>
    <cellStyle name="Cabecera 1 4" xfId="100"/>
    <cellStyle name="Cabecera 1_Historico" xfId="101"/>
    <cellStyle name="Cabecera 2" xfId="102"/>
    <cellStyle name="Cabecera 2 2" xfId="103"/>
    <cellStyle name="Cabecera 2 3" xfId="104"/>
    <cellStyle name="Cabecera 2 4" xfId="105"/>
    <cellStyle name="Cabecera 2_Historico" xfId="106"/>
    <cellStyle name="Cálculo" xfId="11" builtinId="22" customBuiltin="1"/>
    <cellStyle name="Cálculo 2" xfId="107"/>
    <cellStyle name="Cálculo 2 2" xfId="338"/>
    <cellStyle name="Cálculo 2 2 2" xfId="530"/>
    <cellStyle name="Cálculo 2 2 3" xfId="452"/>
    <cellStyle name="Cálculo 2 2 4" xfId="760"/>
    <cellStyle name="Cálculo 2 3" xfId="450"/>
    <cellStyle name="Cálculo 2 4" xfId="451"/>
    <cellStyle name="Cálculo 2 5" xfId="761"/>
    <cellStyle name="Categoría del Piloto de Datos" xfId="108"/>
    <cellStyle name="Celda de comprobación" xfId="13" builtinId="23" customBuiltin="1"/>
    <cellStyle name="Celda de comprobación 2" xfId="109"/>
    <cellStyle name="Celda de comprobación 2 2" xfId="453"/>
    <cellStyle name="Celda vinculada" xfId="12" builtinId="24" customBuiltin="1"/>
    <cellStyle name="Celda vinculada 2" xfId="110"/>
    <cellStyle name="Celda vinculada 2 2" xfId="454"/>
    <cellStyle name="Comma" xfId="111"/>
    <cellStyle name="Comma [0]_PIB" xfId="112"/>
    <cellStyle name="Comma 2" xfId="113"/>
    <cellStyle name="Comma 3" xfId="114"/>
    <cellStyle name="Comma_2003 y 2004" xfId="115"/>
    <cellStyle name="Comma0" xfId="116"/>
    <cellStyle name="Comma0 2" xfId="117"/>
    <cellStyle name="Comma0 3" xfId="118"/>
    <cellStyle name="Comma0_Historico" xfId="119"/>
    <cellStyle name="Currency" xfId="120"/>
    <cellStyle name="Currency [0]_PIB" xfId="121"/>
    <cellStyle name="Currency 2" xfId="122"/>
    <cellStyle name="Currency 3" xfId="123"/>
    <cellStyle name="Currency_2003 y 2004" xfId="124"/>
    <cellStyle name="Currency0" xfId="125"/>
    <cellStyle name="Currency0 2" xfId="126"/>
    <cellStyle name="Currency0 3" xfId="127"/>
    <cellStyle name="Currency0_Historico" xfId="128"/>
    <cellStyle name="Date" xfId="129"/>
    <cellStyle name="Date 2" xfId="130"/>
    <cellStyle name="Date 3" xfId="131"/>
    <cellStyle name="Date_Historico" xfId="132"/>
    <cellStyle name="Encabezado 4" xfId="5" builtinId="19" customBuiltin="1"/>
    <cellStyle name="Encabezado 4 2" xfId="133"/>
    <cellStyle name="Énfasis1" xfId="18" builtinId="29" customBuiltin="1"/>
    <cellStyle name="Énfasis1 2" xfId="134"/>
    <cellStyle name="Énfasis1 2 2" xfId="412"/>
    <cellStyle name="Énfasis2" xfId="22" builtinId="33" customBuiltin="1"/>
    <cellStyle name="Énfasis2 2" xfId="135"/>
    <cellStyle name="Énfasis2 2 2" xfId="455"/>
    <cellStyle name="Énfasis3" xfId="26" builtinId="37" customBuiltin="1"/>
    <cellStyle name="Énfasis3 2" xfId="136"/>
    <cellStyle name="Énfasis3 2 2" xfId="457"/>
    <cellStyle name="Énfasis4" xfId="30" builtinId="41" customBuiltin="1"/>
    <cellStyle name="Énfasis4 2" xfId="137"/>
    <cellStyle name="Énfasis4 2 2" xfId="458"/>
    <cellStyle name="Énfasis5" xfId="34" builtinId="45" customBuiltin="1"/>
    <cellStyle name="Énfasis5 2" xfId="138"/>
    <cellStyle name="Énfasis5 2 2" xfId="459"/>
    <cellStyle name="Énfasis6" xfId="38" builtinId="49" customBuiltin="1"/>
    <cellStyle name="Énfasis6 2" xfId="139"/>
    <cellStyle name="Énfasis6 2 2" xfId="460"/>
    <cellStyle name="Entrada" xfId="9" builtinId="20" customBuiltin="1"/>
    <cellStyle name="Entrada 2" xfId="140"/>
    <cellStyle name="Entrada 2 2" xfId="339"/>
    <cellStyle name="Entrada 2 2 2" xfId="531"/>
    <cellStyle name="Entrada 2 2 2 2" xfId="463"/>
    <cellStyle name="Entrada 2 2 3" xfId="462"/>
    <cellStyle name="Entrada 2 2 4" xfId="756"/>
    <cellStyle name="Entrada 2 3" xfId="456"/>
    <cellStyle name="Entrada 2 3 2" xfId="464"/>
    <cellStyle name="Entrada 2 4" xfId="461"/>
    <cellStyle name="Entrada 2 5" xfId="649"/>
    <cellStyle name="Estilo 1" xfId="141"/>
    <cellStyle name="Estilo 1 2" xfId="142"/>
    <cellStyle name="Euro" xfId="143"/>
    <cellStyle name="Euro 2" xfId="144"/>
    <cellStyle name="Euro 3" xfId="145"/>
    <cellStyle name="Euro 4" xfId="146"/>
    <cellStyle name="Euro_Historico" xfId="147"/>
    <cellStyle name="F2" xfId="148"/>
    <cellStyle name="F3" xfId="149"/>
    <cellStyle name="F4" xfId="150"/>
    <cellStyle name="F5" xfId="151"/>
    <cellStyle name="F6" xfId="152"/>
    <cellStyle name="F7" xfId="153"/>
    <cellStyle name="F8" xfId="154"/>
    <cellStyle name="Fecha" xfId="155"/>
    <cellStyle name="Fecha 2" xfId="156"/>
    <cellStyle name="Fecha 3" xfId="157"/>
    <cellStyle name="Fecha 4" xfId="158"/>
    <cellStyle name="Fecha_Historico" xfId="159"/>
    <cellStyle name="Fecha4 - Modelo4" xfId="160"/>
    <cellStyle name="Fecha4 - Modelo4 2" xfId="161"/>
    <cellStyle name="Fijo" xfId="162"/>
    <cellStyle name="Fijo 2" xfId="163"/>
    <cellStyle name="Fijo 3" xfId="164"/>
    <cellStyle name="Fijo 4" xfId="165"/>
    <cellStyle name="Fijo_Historico" xfId="166"/>
    <cellStyle name="Fixed" xfId="167"/>
    <cellStyle name="Fixed 2" xfId="168"/>
    <cellStyle name="Fixed 3" xfId="169"/>
    <cellStyle name="Fixed_Historico" xfId="170"/>
    <cellStyle name="Heading 1" xfId="171"/>
    <cellStyle name="Heading 1 2" xfId="172"/>
    <cellStyle name="Heading 1 3" xfId="173"/>
    <cellStyle name="Heading 1_Historico" xfId="174"/>
    <cellStyle name="Heading 2" xfId="175"/>
    <cellStyle name="Heading 2 2" xfId="176"/>
    <cellStyle name="Heading 2 3" xfId="177"/>
    <cellStyle name="Heading 2_Historico" xfId="178"/>
    <cellStyle name="Heading1" xfId="179"/>
    <cellStyle name="Heading1 2" xfId="180"/>
    <cellStyle name="Heading1 3" xfId="181"/>
    <cellStyle name="Heading1_Historico" xfId="182"/>
    <cellStyle name="Heading2" xfId="183"/>
    <cellStyle name="Heading2 2" xfId="184"/>
    <cellStyle name="Heading2 3" xfId="185"/>
    <cellStyle name="Heading2_Historico" xfId="186"/>
    <cellStyle name="Incorrecto" xfId="7" builtinId="27" customBuiltin="1"/>
    <cellStyle name="Incorrecto 2" xfId="187"/>
    <cellStyle name="Incorrecto 2 2" xfId="597"/>
    <cellStyle name="Millares" xfId="43" builtinId="3"/>
    <cellStyle name="Millares [0] 2" xfId="188"/>
    <cellStyle name="Millares 10" xfId="189"/>
    <cellStyle name="Millares 11" xfId="190"/>
    <cellStyle name="Millares 12" xfId="400"/>
    <cellStyle name="Millares 12 2" xfId="592"/>
    <cellStyle name="Millares 12 3" xfId="755"/>
    <cellStyle name="Millares 13" xfId="465"/>
    <cellStyle name="Millares 2" xfId="64"/>
    <cellStyle name="Millares 2 2" xfId="191"/>
    <cellStyle name="Millares 2 3" xfId="192"/>
    <cellStyle name="Millares 3" xfId="193"/>
    <cellStyle name="Millares 4" xfId="67"/>
    <cellStyle name="Millares 4 2" xfId="194"/>
    <cellStyle name="Millares 4 3" xfId="466"/>
    <cellStyle name="Millares 5" xfId="195"/>
    <cellStyle name="Millares 5 2" xfId="467"/>
    <cellStyle name="Millares 6" xfId="196"/>
    <cellStyle name="Millares 7" xfId="197"/>
    <cellStyle name="Millares 8" xfId="198"/>
    <cellStyle name="Millares 9" xfId="199"/>
    <cellStyle name="Moneta - Modelo2" xfId="200"/>
    <cellStyle name="Moneta - Modelo2 2" xfId="201"/>
    <cellStyle name="Moneta - Modelo5" xfId="202"/>
    <cellStyle name="Moneta - Modelo5 2" xfId="203"/>
    <cellStyle name="Monetario" xfId="204"/>
    <cellStyle name="Monetario 2" xfId="205"/>
    <cellStyle name="Monetario 3" xfId="206"/>
    <cellStyle name="Monetario_Historico" xfId="207"/>
    <cellStyle name="Monetario0" xfId="208"/>
    <cellStyle name="Monetario0 2" xfId="209"/>
    <cellStyle name="Monetario0 3" xfId="210"/>
    <cellStyle name="Monetario0 4" xfId="211"/>
    <cellStyle name="Monetario0_Historico" xfId="212"/>
    <cellStyle name="Neutral" xfId="8" builtinId="28" customBuiltin="1"/>
    <cellStyle name="Neutral 2" xfId="213"/>
    <cellStyle name="Normal" xfId="0" builtinId="0" customBuiltin="1"/>
    <cellStyle name="Normal 10" xfId="48"/>
    <cellStyle name="Normal 10 2" xfId="63"/>
    <cellStyle name="Normal 10 2 2" xfId="325"/>
    <cellStyle name="Normal 10 2 2 2" xfId="517"/>
    <cellStyle name="Normal 10 2 2 3" xfId="689"/>
    <cellStyle name="Normal 10 2 3" xfId="381"/>
    <cellStyle name="Normal 10 2 3 2" xfId="573"/>
    <cellStyle name="Normal 10 2 3 3" xfId="736"/>
    <cellStyle name="Normal 10 2 4" xfId="434"/>
    <cellStyle name="Normal 10 2 5" xfId="635"/>
    <cellStyle name="Normal 10 3" xfId="310"/>
    <cellStyle name="Normal 10 3 2" xfId="502"/>
    <cellStyle name="Normal 10 3 3" xfId="674"/>
    <cellStyle name="Normal 10 4" xfId="366"/>
    <cellStyle name="Normal 10 4 2" xfId="558"/>
    <cellStyle name="Normal 10 4 3" xfId="721"/>
    <cellStyle name="Normal 10 5" xfId="419"/>
    <cellStyle name="Normal 10 6" xfId="620"/>
    <cellStyle name="Normal 11" xfId="66"/>
    <cellStyle name="Normal 11 2" xfId="595"/>
    <cellStyle name="Normal 12" xfId="398"/>
    <cellStyle name="Normal 12 2" xfId="590"/>
    <cellStyle name="Normal 12 3" xfId="753"/>
    <cellStyle name="Normal 13" xfId="399"/>
    <cellStyle name="Normal 13 2" xfId="591"/>
    <cellStyle name="Normal 13 3" xfId="754"/>
    <cellStyle name="Normal 14" xfId="598"/>
    <cellStyle name="Normal 2" xfId="44"/>
    <cellStyle name="Normal 2 2" xfId="214"/>
    <cellStyle name="Normal 2 3" xfId="215"/>
    <cellStyle name="Normal 2 3 2" xfId="468"/>
    <cellStyle name="Normal 2_FUT INGRESOS 2010 Y FLS Y TESORERIA FLS AGOSTO 26" xfId="216"/>
    <cellStyle name="Normal 3" xfId="45"/>
    <cellStyle name="Normal 3 2" xfId="217"/>
    <cellStyle name="Normal 3 3" xfId="308"/>
    <cellStyle name="Normal 3 3 2" xfId="500"/>
    <cellStyle name="Normal 3 3 3" xfId="672"/>
    <cellStyle name="Normal 3 4" xfId="364"/>
    <cellStyle name="Normal 3 4 2" xfId="556"/>
    <cellStyle name="Normal 3 4 3" xfId="719"/>
    <cellStyle name="Normal 3 5" xfId="417"/>
    <cellStyle name="Normal 3 6" xfId="618"/>
    <cellStyle name="Normal 4" xfId="47"/>
    <cellStyle name="Normal 5" xfId="62"/>
    <cellStyle name="Normal 5 2" xfId="218"/>
    <cellStyle name="Normal 5 3" xfId="324"/>
    <cellStyle name="Normal 5 3 2" xfId="516"/>
    <cellStyle name="Normal 5 3 3" xfId="688"/>
    <cellStyle name="Normal 5 4" xfId="380"/>
    <cellStyle name="Normal 5 4 2" xfId="572"/>
    <cellStyle name="Normal 5 4 3" xfId="735"/>
    <cellStyle name="Normal 5 5" xfId="433"/>
    <cellStyle name="Normal 5 6" xfId="634"/>
    <cellStyle name="Normal 6" xfId="219"/>
    <cellStyle name="Normal 6 2" xfId="340"/>
    <cellStyle name="Normal 6 2 2" xfId="532"/>
    <cellStyle name="Normal 6 2 3" xfId="702"/>
    <cellStyle name="Normal 6 3" xfId="394"/>
    <cellStyle name="Normal 6 3 2" xfId="586"/>
    <cellStyle name="Normal 6 3 3" xfId="749"/>
    <cellStyle name="Normal 6 4" xfId="471"/>
    <cellStyle name="Normal 6 5" xfId="653"/>
    <cellStyle name="Normal 7" xfId="220"/>
    <cellStyle name="Normal 7 2" xfId="341"/>
    <cellStyle name="Normal 7 2 2" xfId="533"/>
    <cellStyle name="Normal 7 2 3" xfId="703"/>
    <cellStyle name="Normal 7 3" xfId="395"/>
    <cellStyle name="Normal 7 3 2" xfId="587"/>
    <cellStyle name="Normal 7 3 3" xfId="750"/>
    <cellStyle name="Normal 7 4" xfId="472"/>
    <cellStyle name="Normal 7 5" xfId="654"/>
    <cellStyle name="Normal 8" xfId="221"/>
    <cellStyle name="Normal 8 2" xfId="342"/>
    <cellStyle name="Normal 8 2 2" xfId="534"/>
    <cellStyle name="Normal 8 2 3" xfId="704"/>
    <cellStyle name="Normal 8 3" xfId="396"/>
    <cellStyle name="Normal 8 3 2" xfId="588"/>
    <cellStyle name="Normal 8 3 3" xfId="751"/>
    <cellStyle name="Normal 8 4" xfId="473"/>
    <cellStyle name="Normal 8 5" xfId="655"/>
    <cellStyle name="Normal 9" xfId="222"/>
    <cellStyle name="Notas" xfId="15" builtinId="10" customBuiltin="1"/>
    <cellStyle name="Notas 2" xfId="49"/>
    <cellStyle name="Notas 2 2" xfId="311"/>
    <cellStyle name="Notas 2 2 2" xfId="503"/>
    <cellStyle name="Notas 2 2 3" xfId="675"/>
    <cellStyle name="Notas 2 3" xfId="367"/>
    <cellStyle name="Notas 2 3 2" xfId="559"/>
    <cellStyle name="Notas 2 3 3" xfId="722"/>
    <cellStyle name="Notas 2 4" xfId="420"/>
    <cellStyle name="Notas 2 5" xfId="621"/>
    <cellStyle name="Notas 3" xfId="223"/>
    <cellStyle name="Notas 3 2" xfId="343"/>
    <cellStyle name="Notas 3 2 2" xfId="535"/>
    <cellStyle name="Notas 3 2 3" xfId="705"/>
    <cellStyle name="Notas 3 3" xfId="397"/>
    <cellStyle name="Notas 3 3 2" xfId="589"/>
    <cellStyle name="Notas 3 3 3" xfId="752"/>
    <cellStyle name="Notas 3 4" xfId="474"/>
    <cellStyle name="Notas 3 5" xfId="656"/>
    <cellStyle name="Notas 4" xfId="295"/>
    <cellStyle name="Notas 4 2" xfId="487"/>
    <cellStyle name="Notas 4 3" xfId="659"/>
    <cellStyle name="Notas 5" xfId="351"/>
    <cellStyle name="Notas 5 2" xfId="543"/>
    <cellStyle name="Notas 5 3" xfId="706"/>
    <cellStyle name="Notas 6" xfId="403"/>
    <cellStyle name="Notas 7" xfId="605"/>
    <cellStyle name="Percent" xfId="224"/>
    <cellStyle name="Percent 2" xfId="225"/>
    <cellStyle name="Percent 3" xfId="226"/>
    <cellStyle name="Percent_Historico" xfId="227"/>
    <cellStyle name="Piloto de Datos Ángulo" xfId="228"/>
    <cellStyle name="Piloto de Datos Campo" xfId="229"/>
    <cellStyle name="Piloto de Datos Resultado" xfId="230"/>
    <cellStyle name="Piloto de Datos Título" xfId="231"/>
    <cellStyle name="Piloto de Datos Valor" xfId="232"/>
    <cellStyle name="Porcen - Modelo3" xfId="233"/>
    <cellStyle name="Porcen - Modelo3 2" xfId="234"/>
    <cellStyle name="Porcen - Modelo3 2 2" xfId="345"/>
    <cellStyle name="Porcen - Modelo3 2 2 2" xfId="537"/>
    <cellStyle name="Porcen - Modelo3 2 2 3" xfId="599"/>
    <cellStyle name="Porcen - Modelo3 2 2 4" xfId="657"/>
    <cellStyle name="Porcen - Modelo3 2 3" xfId="477"/>
    <cellStyle name="Porcen - Modelo3 2 4" xfId="401"/>
    <cellStyle name="Porcen - Modelo3 2 5" xfId="651"/>
    <cellStyle name="Porcen - Modelo3 3" xfId="344"/>
    <cellStyle name="Porcen - Modelo3 3 2" xfId="536"/>
    <cellStyle name="Porcen - Modelo3 3 3" xfId="593"/>
    <cellStyle name="Porcen - Modelo3 3 4" xfId="757"/>
    <cellStyle name="Porcen - Modelo3 4" xfId="476"/>
    <cellStyle name="Porcen - Modelo3 5" xfId="478"/>
    <cellStyle name="Porcen - Modelo3 6" xfId="650"/>
    <cellStyle name="Porcentaje" xfId="42" builtinId="5"/>
    <cellStyle name="Porcentaje 2" xfId="46"/>
    <cellStyle name="Porcentaje 2 2" xfId="309"/>
    <cellStyle name="Porcentaje 2 2 2" xfId="501"/>
    <cellStyle name="Porcentaje 2 2 3" xfId="673"/>
    <cellStyle name="Porcentaje 2 3" xfId="365"/>
    <cellStyle name="Porcentaje 2 3 2" xfId="557"/>
    <cellStyle name="Porcentaje 2 3 3" xfId="720"/>
    <cellStyle name="Porcentaje 2 4" xfId="418"/>
    <cellStyle name="Porcentaje 2 5" xfId="619"/>
    <cellStyle name="Porcentaje 3" xfId="65"/>
    <cellStyle name="Porcentual 2" xfId="235"/>
    <cellStyle name="Porcentual 2 2" xfId="236"/>
    <cellStyle name="Porcentual 3" xfId="237"/>
    <cellStyle name="Porcentual 4" xfId="238"/>
    <cellStyle name="Porcentual 4 2" xfId="602"/>
    <cellStyle name="Porcentual 5" xfId="239"/>
    <cellStyle name="Porcentual 6" xfId="435"/>
    <cellStyle name="Punto" xfId="240"/>
    <cellStyle name="Punto 2" xfId="241"/>
    <cellStyle name="Punto 3" xfId="242"/>
    <cellStyle name="Punto_Historico" xfId="243"/>
    <cellStyle name="Punto0" xfId="244"/>
    <cellStyle name="Punto0 2" xfId="245"/>
    <cellStyle name="Punto1 - Modelo1" xfId="246"/>
    <cellStyle name="Punto1 - Modelo1 2" xfId="247"/>
    <cellStyle name="Resumen" xfId="248"/>
    <cellStyle name="Resumen 2" xfId="249"/>
    <cellStyle name="Resumen 2 2" xfId="347"/>
    <cellStyle name="Resumen 2 2 2" xfId="539"/>
    <cellStyle name="Resumen 2 3" xfId="481"/>
    <cellStyle name="Resumen 3" xfId="250"/>
    <cellStyle name="Resumen 3 2" xfId="348"/>
    <cellStyle name="Resumen 3 2 2" xfId="540"/>
    <cellStyle name="Resumen 3 3" xfId="482"/>
    <cellStyle name="Resumen 4" xfId="346"/>
    <cellStyle name="Resumen 4 2" xfId="538"/>
    <cellStyle name="Resumen 5" xfId="480"/>
    <cellStyle name="Resumen_Historico" xfId="251"/>
    <cellStyle name="Salida" xfId="10" builtinId="21" customBuiltin="1"/>
    <cellStyle name="Salida 2" xfId="252"/>
    <cellStyle name="Salida 2 2" xfId="349"/>
    <cellStyle name="Salida 2 2 2" xfId="541"/>
    <cellStyle name="Salida 2 2 2 2" xfId="600"/>
    <cellStyle name="Salida 2 2 3" xfId="469"/>
    <cellStyle name="Salida 2 2 4" xfId="759"/>
    <cellStyle name="Salida 2 2 5" xfId="762"/>
    <cellStyle name="Salida 2 3" xfId="483"/>
    <cellStyle name="Salida 2 3 2" xfId="594"/>
    <cellStyle name="Salida 2 4" xfId="596"/>
    <cellStyle name="Salida 2 5" xfId="636"/>
    <cellStyle name="Salida 2 6" xfId="652"/>
    <cellStyle name="Text" xfId="253"/>
    <cellStyle name="Text 2" xfId="254"/>
    <cellStyle name="Text 3" xfId="255"/>
    <cellStyle name="Text_Historico" xfId="256"/>
    <cellStyle name="Texto de advertencia" xfId="14" builtinId="11" customBuiltin="1"/>
    <cellStyle name="Texto de advertencia 2" xfId="257"/>
    <cellStyle name="Texto de advertencia 2 2" xfId="470"/>
    <cellStyle name="Texto explicativo" xfId="16" builtinId="53" customBuiltin="1"/>
    <cellStyle name="Texto explicativo 2" xfId="258"/>
    <cellStyle name="Texto explicativo 2 2" xfId="479"/>
    <cellStyle name="Título" xfId="1" builtinId="15" customBuiltin="1"/>
    <cellStyle name="Título 1" xfId="2" builtinId="16" customBuiltin="1"/>
    <cellStyle name="Título 1 2" xfId="259"/>
    <cellStyle name="Título 2" xfId="3" builtinId="17" customBuiltin="1"/>
    <cellStyle name="Título 2 2" xfId="260"/>
    <cellStyle name="Título 3" xfId="4" builtinId="18" customBuiltin="1"/>
    <cellStyle name="Título 3 2" xfId="261"/>
    <cellStyle name="Título 4" xfId="262"/>
    <cellStyle name="Total" xfId="17" builtinId="25" customBuiltin="1"/>
    <cellStyle name="Total 2" xfId="263"/>
    <cellStyle name="Total 3" xfId="264"/>
    <cellStyle name="Total 4" xfId="265"/>
    <cellStyle name="ultas y Sanciones" xfId="266"/>
    <cellStyle name="ultas y Sanciones 2" xfId="350"/>
    <cellStyle name="ultas y Sanciones 2 2" xfId="542"/>
    <cellStyle name="ultas y Sanciones 2 3" xfId="604"/>
    <cellStyle name="ultas y Sanciones 2 4" xfId="758"/>
    <cellStyle name="ultas y Sanciones 3" xfId="485"/>
    <cellStyle name="ultas y Sanciones 4" xfId="603"/>
    <cellStyle name="ultas y Sanciones 5" xfId="658"/>
    <cellStyle name="ДАТА" xfId="267"/>
    <cellStyle name="ДАТА 2" xfId="268"/>
    <cellStyle name="ДАТА 3" xfId="269"/>
    <cellStyle name="ДАТА_Historico" xfId="270"/>
    <cellStyle name="ДЕНЕЖНЫЙ_BOPENGC" xfId="271"/>
    <cellStyle name="ЗАГОЛОВОК1" xfId="272"/>
    <cellStyle name="ЗАГОЛОВОК1 2" xfId="273"/>
    <cellStyle name="ЗАГОЛОВОК1 3" xfId="274"/>
    <cellStyle name="ЗАГОЛОВОК1_Historico" xfId="275"/>
    <cellStyle name="ЗАГОЛОВОК2" xfId="276"/>
    <cellStyle name="ЗАГОЛОВОК2 2" xfId="277"/>
    <cellStyle name="ЗАГОЛОВОК2 3" xfId="278"/>
    <cellStyle name="ЗАГОЛОВОК2_Historico" xfId="279"/>
    <cellStyle name="ИТОГОВЫЙ" xfId="280"/>
    <cellStyle name="ИТОГОВЫЙ 2" xfId="281"/>
    <cellStyle name="ИТОГОВЫЙ 3" xfId="282"/>
    <cellStyle name="ИТОГОВЫЙ_Historico" xfId="283"/>
    <cellStyle name="Обычный_BOPENGC" xfId="284"/>
    <cellStyle name="ПРОЦЕНТНЫЙ_BOPENGC" xfId="285"/>
    <cellStyle name="ТЕКСТ" xfId="286"/>
    <cellStyle name="ТЕКСТ 2" xfId="287"/>
    <cellStyle name="ТЕКСТ 3" xfId="288"/>
    <cellStyle name="ТЕКСТ_Historico" xfId="289"/>
    <cellStyle name="ФИКСИРОВАННЫЙ" xfId="290"/>
    <cellStyle name="ФИКСИРОВАННЫЙ 2" xfId="291"/>
    <cellStyle name="ФИКСИРОВАННЫЙ 3" xfId="292"/>
    <cellStyle name="ФИКСИРОВАННЫЙ_Historico" xfId="293"/>
    <cellStyle name="ФИНАНСОВЫЙ_BOPENGC" xfId="294"/>
  </cellStyles>
  <dxfs count="0"/>
  <tableStyles count="0" defaultTableStyle="TableStyleMedium2" defaultPivotStyle="PivotStyleLight16"/>
  <colors>
    <mruColors>
      <color rgb="FF9FFBBB"/>
      <color rgb="FFFFFF66"/>
      <color rgb="FF99FF66"/>
      <color rgb="FF47B75A"/>
      <color rgb="FF0000FF"/>
      <color rgb="FF10A01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Documents%20and%20Settings\rtorres\Mis%20documentos\windows\TEMP\DATOS\EXCEL\PREANT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WINDOWS\TEMP\Distribuciones\Conpes%202004\Consejos\Consejos%20comunales\Ejercicios%20Finales\MAGDALEN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OPREFCJ1\GOBIERNO\1998\EXCELL\PRESUPUESTO\INGRESOS\vari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WINDOWS\TEMP\Distribuciones\Conpes%202004\Consejos\Consejos%20comunales\Ejercicios%20Finales\Pr2201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OecDgp\Flujos\Regional\MODREGI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sanchez\c\WINDOWS\TEMP\PROYECTO\FUNCIONAM972000sh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as-jcasteblanco\Consejos%20Anticorrupci&#243;n\1_Elabora\Consejos%20Anticorrupci&#243;n\Doc%20Base\Adicionales\Transferencias_Sectores%20x%20Mpios%2094-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OPREFCJ1\RESTO\SOCIAL\MODESTS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CARPETA%20GRO/PLAN%20DE%20DESARROLLO/PDM%202012-2015/1.%20ACUERDO%20010%20-%20PLAN%20DE%20DESARROLLO%202012-2015/Hacienda/HACIENDA%20-%20Gastos%20de%20Inversi&#243;n%202012%20FUT-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oec2000go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OPREFCJ1\GOBIERNO\windows\TEMP\CUADR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ocuments%20and%20Settings\rtorres\Configuraci&#243;n%20local\Archivos%20temporales%20de%20Internet\OLK3\Consejos%20comunales\Cifras%20soporte\Educaci&#243;n\COSTOS%20Y%20RECURSOS%20EDUCACION%20BASIC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rhenals\gobierno\Gobierno\Cierre97\OPEF%201997%20Cierr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rhenals\gobierno\Gobierno\GOB97\Tesoreria%201997%20Cierre%20ene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sanchez\2001\ejecuaasepaoctu2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diego\ECOPETROL\Modelo\Modelo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resupuesto\C\WINNT\Profiles\presup.001\Personal\NELSONIV\DATOS\EXCEL\PREANT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OPREFCJ1\GOBIERNO\1998\PRESUPUEST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conso992002\PROFIN\PROGYCON\EJEC\Ejecdisgas\EJECDISYGAS03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sanchez\c\WINDOWS\TEMP\PROYECTO\972000%20a%20julio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Documents%20and%20Settings\Eparada\Mis%20documentos\Ren%20Admon%20Publ\BASURA2%2012nov20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castel\Nombres%20Datamart\Documents%20and%20Settings\gcastel\Mis%20documentos\Variedades\Afros\Afros%20con%20Dp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1\gcastel\CONFIG~1\Temp\Directorio%20temporal%201%20para%20Env&#237;o%20datos%20Valle%20del%20Cauca.zip\Refomas%20y%20Tareas\Reforma%20SGP\Ley%20715\Cifras\Variedades\Otros\Varios1\Consejos%20comunales\MET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windows\TEMP\oec7MAR00adicionPPT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herreno\c\WINDOWS\TEMP\PROYECTO\972000%20a%20julio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OPREFCJ1\GOBIERNO\CARLOSJ\PRES9194\PAGOS.XLW"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OPREFCJ1\GOBIERNO\modgobi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OPREFCJ1\GOBIERNO\1999\Excell\PRESUPUESTO\24jul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OECDGP\Flujos\Gobierno\modgobie%20CHEQUE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OPREFCJ1\CARBOCOL\MODCARB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OPREFCJ1\CAFE\MODCAF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ráfico1"/>
      <sheetName val="% pib"/>
      <sheetName val="ASIG"/>
      <sheetName val="Crec ASIG"/>
      <sheetName val="Crec"/>
      <sheetName val="PER CAPITA"/>
      <sheetName val="P ca"/>
      <sheetName val="P po"/>
      <sheetName val="SGP 2003"/>
      <sheetName val="PERIODO"/>
      <sheetName val="2003 N"/>
      <sheetName val="03."/>
      <sheetName val="03"/>
      <sheetName val="SGP 03"/>
      <sheetName val="EF_SAL"/>
      <sheetName val="01-03"/>
      <sheetName val="DATOS"/>
      <sheetName val="Hoja3"/>
      <sheetName val="POB"/>
      <sheetName val="Hoja5"/>
      <sheetName val="POBLACIÓN"/>
      <sheetName val="Hoja4"/>
      <sheetName val="03-06"/>
      <sheetName val="D7_Icfes 02"/>
      <sheetName val="D8_MS"/>
      <sheetName val="D8_1_Bajo"/>
      <sheetName val="D9_Saber 97-99"/>
      <sheetName val="20 Magdale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row r="3">
          <cell r="B3" t="str">
            <v>ANTIOQUIA</v>
          </cell>
          <cell r="C3">
            <v>146577967662</v>
          </cell>
          <cell r="D3">
            <v>28829002685</v>
          </cell>
          <cell r="E3">
            <v>16810213799</v>
          </cell>
          <cell r="F3">
            <v>6660856530</v>
          </cell>
          <cell r="G3">
            <v>1161400885</v>
          </cell>
          <cell r="H3">
            <v>0</v>
          </cell>
          <cell r="I3">
            <v>0</v>
          </cell>
          <cell r="J3">
            <v>0</v>
          </cell>
          <cell r="K3">
            <v>15542331209.41</v>
          </cell>
          <cell r="L3">
            <v>2653568743.0700002</v>
          </cell>
          <cell r="M3">
            <v>1137243747.03</v>
          </cell>
          <cell r="N3">
            <v>18574981201.489998</v>
          </cell>
          <cell r="O3" t="str">
            <v>MEDELLIN</v>
          </cell>
        </row>
        <row r="4">
          <cell r="B4" t="str">
            <v>ATLANTICO</v>
          </cell>
          <cell r="C4">
            <v>84159041136</v>
          </cell>
          <cell r="D4">
            <v>22399705766</v>
          </cell>
          <cell r="E4">
            <v>24988004961</v>
          </cell>
          <cell r="F4">
            <v>4633276047</v>
          </cell>
          <cell r="G4">
            <v>842195327</v>
          </cell>
          <cell r="H4">
            <v>0</v>
          </cell>
          <cell r="I4">
            <v>46977757</v>
          </cell>
          <cell r="J4">
            <v>0</v>
          </cell>
          <cell r="K4">
            <v>11270594749.67</v>
          </cell>
          <cell r="L4">
            <v>1924247884.0900002</v>
          </cell>
          <cell r="M4">
            <v>824677664.61000001</v>
          </cell>
          <cell r="N4">
            <v>13469735188.629999</v>
          </cell>
          <cell r="O4" t="str">
            <v>BARRANQUILLA</v>
          </cell>
        </row>
        <row r="5">
          <cell r="B5" t="str">
            <v>BOGOTA</v>
          </cell>
          <cell r="C5">
            <v>456123269824</v>
          </cell>
          <cell r="D5">
            <v>141918774311</v>
          </cell>
          <cell r="E5">
            <v>91841604376</v>
          </cell>
          <cell r="F5">
            <v>28222097403</v>
          </cell>
          <cell r="G5">
            <v>3782173445</v>
          </cell>
          <cell r="H5">
            <v>0</v>
          </cell>
          <cell r="I5">
            <v>0</v>
          </cell>
        </row>
        <row r="6">
          <cell r="B6" t="str">
            <v>BOLIVAR</v>
          </cell>
          <cell r="C6">
            <v>83180589543</v>
          </cell>
          <cell r="D6">
            <v>20774253678</v>
          </cell>
          <cell r="E6">
            <v>23322758044</v>
          </cell>
          <cell r="F6">
            <v>3671571903</v>
          </cell>
          <cell r="G6">
            <v>615781803</v>
          </cell>
          <cell r="H6">
            <v>0</v>
          </cell>
          <cell r="I6">
            <v>0</v>
          </cell>
          <cell r="J6">
            <v>0</v>
          </cell>
          <cell r="K6">
            <v>8240638397.6299992</v>
          </cell>
          <cell r="L6">
            <v>1406938263.0100002</v>
          </cell>
          <cell r="M6">
            <v>602973541.28999996</v>
          </cell>
          <cell r="N6">
            <v>9848567841.0699997</v>
          </cell>
          <cell r="O6" t="str">
            <v>CARTAGENA</v>
          </cell>
        </row>
        <row r="7">
          <cell r="B7" t="str">
            <v>BOYACA</v>
          </cell>
          <cell r="C7">
            <v>21568281852</v>
          </cell>
          <cell r="D7">
            <v>2468125434</v>
          </cell>
          <cell r="E7">
            <v>0</v>
          </cell>
          <cell r="F7">
            <v>357128066</v>
          </cell>
          <cell r="G7">
            <v>83770818</v>
          </cell>
          <cell r="H7">
            <v>0</v>
          </cell>
          <cell r="I7">
            <v>0</v>
          </cell>
          <cell r="J7">
            <v>0</v>
          </cell>
          <cell r="K7">
            <v>1121054594.1799998</v>
          </cell>
          <cell r="L7">
            <v>191399564.86000001</v>
          </cell>
          <cell r="M7">
            <v>82028384.939999998</v>
          </cell>
          <cell r="N7">
            <v>1339796954.02</v>
          </cell>
          <cell r="O7" t="str">
            <v>TUNJA</v>
          </cell>
        </row>
        <row r="8">
          <cell r="B8" t="str">
            <v>CALDAS</v>
          </cell>
          <cell r="C8">
            <v>56985285191</v>
          </cell>
          <cell r="D8">
            <v>6412715881</v>
          </cell>
          <cell r="E8">
            <v>3107794932</v>
          </cell>
          <cell r="F8">
            <v>910741585</v>
          </cell>
          <cell r="G8">
            <v>242227470</v>
          </cell>
          <cell r="H8">
            <v>0</v>
          </cell>
          <cell r="I8">
            <v>0</v>
          </cell>
          <cell r="J8">
            <v>0</v>
          </cell>
          <cell r="K8">
            <v>3241584898.71</v>
          </cell>
          <cell r="L8">
            <v>553441324.17000008</v>
          </cell>
          <cell r="M8">
            <v>237189138.92999998</v>
          </cell>
          <cell r="N8">
            <v>3874089269.1900001</v>
          </cell>
          <cell r="O8" t="str">
            <v>MANIZALES</v>
          </cell>
        </row>
        <row r="9">
          <cell r="B9" t="str">
            <v>CAQUETA</v>
          </cell>
          <cell r="C9">
            <v>24416070990</v>
          </cell>
          <cell r="D9">
            <v>3238340247</v>
          </cell>
          <cell r="E9">
            <v>0</v>
          </cell>
          <cell r="F9">
            <v>553914866</v>
          </cell>
          <cell r="G9">
            <v>103791298</v>
          </cell>
          <cell r="H9">
            <v>10680584</v>
          </cell>
          <cell r="I9">
            <v>0</v>
          </cell>
          <cell r="J9">
            <v>948569428.80000007</v>
          </cell>
          <cell r="K9">
            <v>1000063197.7919998</v>
          </cell>
          <cell r="L9">
            <v>170742497.18400002</v>
          </cell>
          <cell r="M9">
            <v>73175355.93599999</v>
          </cell>
          <cell r="N9">
            <v>1195197480.2879999</v>
          </cell>
          <cell r="O9" t="str">
            <v>FLORENCIA</v>
          </cell>
        </row>
        <row r="10">
          <cell r="B10" t="str">
            <v>CAUCA</v>
          </cell>
          <cell r="C10">
            <v>32141440277</v>
          </cell>
          <cell r="D10">
            <v>5548611078</v>
          </cell>
          <cell r="E10">
            <v>0</v>
          </cell>
          <cell r="F10">
            <v>579419703</v>
          </cell>
          <cell r="G10">
            <v>152856060</v>
          </cell>
          <cell r="H10">
            <v>207149486</v>
          </cell>
          <cell r="I10">
            <v>0</v>
          </cell>
          <cell r="J10">
            <v>0</v>
          </cell>
          <cell r="K10">
            <v>2045580933.8999999</v>
          </cell>
          <cell r="L10">
            <v>349245525.30000001</v>
          </cell>
          <cell r="M10">
            <v>149676653.69999999</v>
          </cell>
          <cell r="N10">
            <v>2444718677.0999999</v>
          </cell>
          <cell r="O10" t="str">
            <v>POPAYAN</v>
          </cell>
        </row>
        <row r="11">
          <cell r="B11" t="str">
            <v>CESAR</v>
          </cell>
          <cell r="C11">
            <v>37623034593</v>
          </cell>
          <cell r="D11">
            <v>10438394164</v>
          </cell>
          <cell r="E11">
            <v>3382984100</v>
          </cell>
          <cell r="F11">
            <v>1533569096</v>
          </cell>
          <cell r="G11">
            <v>254199217</v>
          </cell>
          <cell r="H11">
            <v>1283554935</v>
          </cell>
          <cell r="I11">
            <v>0</v>
          </cell>
          <cell r="J11">
            <v>0</v>
          </cell>
          <cell r="K11">
            <v>3401795607.7799997</v>
          </cell>
          <cell r="L11">
            <v>580794372.06000006</v>
          </cell>
          <cell r="M11">
            <v>248911873.73999998</v>
          </cell>
          <cell r="N11">
            <v>4065560604.4200001</v>
          </cell>
          <cell r="O11" t="str">
            <v>VALLEDUPAR</v>
          </cell>
        </row>
        <row r="12">
          <cell r="B12" t="str">
            <v>CORDOBA</v>
          </cell>
          <cell r="C12">
            <v>38527833968</v>
          </cell>
          <cell r="D12">
            <v>9212158916</v>
          </cell>
          <cell r="E12">
            <v>0</v>
          </cell>
          <cell r="F12">
            <v>714809906</v>
          </cell>
          <cell r="G12">
            <v>251827739</v>
          </cell>
          <cell r="H12">
            <v>0</v>
          </cell>
          <cell r="I12">
            <v>0</v>
          </cell>
          <cell r="J12">
            <v>0</v>
          </cell>
          <cell r="K12">
            <v>3370059529.0799999</v>
          </cell>
          <cell r="L12">
            <v>575376017.16000009</v>
          </cell>
          <cell r="M12">
            <v>246589721.63999999</v>
          </cell>
          <cell r="N12">
            <v>4027632120.1199999</v>
          </cell>
          <cell r="O12" t="str">
            <v>MONTERIA</v>
          </cell>
        </row>
        <row r="13">
          <cell r="B13" t="str">
            <v>CHOCO</v>
          </cell>
          <cell r="C13">
            <v>1271888919</v>
          </cell>
          <cell r="D13">
            <v>4142068068</v>
          </cell>
          <cell r="E13">
            <v>1417187743</v>
          </cell>
          <cell r="F13">
            <v>685780949</v>
          </cell>
          <cell r="G13">
            <v>115025206</v>
          </cell>
          <cell r="H13">
            <v>218368586</v>
          </cell>
          <cell r="I13">
            <v>0</v>
          </cell>
          <cell r="J13">
            <v>1051238360.4800001</v>
          </cell>
          <cell r="K13">
            <v>1108305585.7632</v>
          </cell>
          <cell r="L13">
            <v>189222904.88640001</v>
          </cell>
          <cell r="M13">
            <v>81095530.665600002</v>
          </cell>
          <cell r="N13">
            <v>1324560334.2047999</v>
          </cell>
          <cell r="O13" t="str">
            <v>QUIBDO</v>
          </cell>
        </row>
        <row r="14">
          <cell r="B14" t="str">
            <v>HUILA</v>
          </cell>
          <cell r="C14">
            <v>45268639338</v>
          </cell>
          <cell r="D14">
            <v>7018308140</v>
          </cell>
          <cell r="E14">
            <v>3223694943</v>
          </cell>
          <cell r="F14">
            <v>1305479443</v>
          </cell>
          <cell r="G14">
            <v>231705710</v>
          </cell>
          <cell r="H14">
            <v>11308854</v>
          </cell>
          <cell r="I14">
            <v>93955522</v>
          </cell>
          <cell r="J14">
            <v>0</v>
          </cell>
          <cell r="K14">
            <v>3100778493.3399997</v>
          </cell>
          <cell r="L14">
            <v>529401206.18000007</v>
          </cell>
          <cell r="M14">
            <v>226886231.22</v>
          </cell>
          <cell r="N14">
            <v>3705808443.2599998</v>
          </cell>
          <cell r="O14" t="str">
            <v>NEIVA</v>
          </cell>
        </row>
        <row r="15">
          <cell r="B15" t="str">
            <v>GUAJIRA</v>
          </cell>
          <cell r="C15">
            <v>720612358</v>
          </cell>
          <cell r="D15">
            <v>4605216074</v>
          </cell>
          <cell r="E15">
            <v>0</v>
          </cell>
          <cell r="F15">
            <v>481245890</v>
          </cell>
          <cell r="G15">
            <v>109351448</v>
          </cell>
          <cell r="H15">
            <v>383424004</v>
          </cell>
          <cell r="I15">
            <v>0</v>
          </cell>
          <cell r="J15">
            <v>999384752.80000007</v>
          </cell>
          <cell r="K15">
            <v>1053637067.9519999</v>
          </cell>
          <cell r="L15">
            <v>179889255.50400001</v>
          </cell>
          <cell r="M15">
            <v>77095395.215999991</v>
          </cell>
          <cell r="N15">
            <v>1259224788.5279999</v>
          </cell>
          <cell r="O15" t="str">
            <v>RIOHACHA</v>
          </cell>
        </row>
        <row r="16">
          <cell r="B16" t="str">
            <v>MAGDALENA</v>
          </cell>
          <cell r="C16">
            <v>39959453680</v>
          </cell>
          <cell r="D16">
            <v>9157438775</v>
          </cell>
          <cell r="E16">
            <v>9609051890</v>
          </cell>
          <cell r="F16">
            <v>1566931203</v>
          </cell>
          <cell r="G16">
            <v>269740455</v>
          </cell>
          <cell r="H16">
            <v>171876631</v>
          </cell>
          <cell r="I16">
            <v>0</v>
          </cell>
          <cell r="J16">
            <v>0</v>
          </cell>
          <cell r="K16">
            <v>3609774663.6799998</v>
          </cell>
          <cell r="L16">
            <v>616302991.36000001</v>
          </cell>
          <cell r="M16">
            <v>264129853.44</v>
          </cell>
          <cell r="N16">
            <v>4314120939.5199995</v>
          </cell>
          <cell r="O16" t="str">
            <v>SANTA MARTA</v>
          </cell>
        </row>
        <row r="17">
          <cell r="B17" t="str">
            <v>META</v>
          </cell>
          <cell r="C17">
            <v>37002230743</v>
          </cell>
          <cell r="D17">
            <v>6367872065</v>
          </cell>
          <cell r="E17">
            <v>2562426658</v>
          </cell>
          <cell r="F17">
            <v>1257779595</v>
          </cell>
          <cell r="G17">
            <v>228649576</v>
          </cell>
          <cell r="H17">
            <v>0</v>
          </cell>
          <cell r="I17">
            <v>0</v>
          </cell>
          <cell r="J17">
            <v>0</v>
          </cell>
          <cell r="K17">
            <v>3059880082.3199997</v>
          </cell>
          <cell r="L17">
            <v>522418550.64000005</v>
          </cell>
          <cell r="M17">
            <v>223893664.56</v>
          </cell>
          <cell r="N17">
            <v>3656929854.48</v>
          </cell>
          <cell r="O17" t="str">
            <v>VILLAVICENCIO</v>
          </cell>
        </row>
        <row r="18">
          <cell r="B18" t="str">
            <v>NARIÑO</v>
          </cell>
          <cell r="C18">
            <v>56647800998</v>
          </cell>
          <cell r="D18">
            <v>12938003305</v>
          </cell>
          <cell r="E18">
            <v>3843211975</v>
          </cell>
          <cell r="F18">
            <v>1092760074</v>
          </cell>
          <cell r="G18">
            <v>259738296</v>
          </cell>
          <cell r="H18">
            <v>0</v>
          </cell>
          <cell r="I18">
            <v>0</v>
          </cell>
          <cell r="J18">
            <v>0</v>
          </cell>
          <cell r="K18">
            <v>3475921778.77</v>
          </cell>
          <cell r="L18">
            <v>593450059.79000008</v>
          </cell>
          <cell r="M18">
            <v>254335739.91</v>
          </cell>
          <cell r="N18">
            <v>4154150418.5299997</v>
          </cell>
          <cell r="O18" t="str">
            <v>PASTO</v>
          </cell>
        </row>
        <row r="19">
          <cell r="B19" t="str">
            <v>NORTE DE SANTANDER</v>
          </cell>
          <cell r="C19">
            <v>44920884217</v>
          </cell>
          <cell r="D19">
            <v>12586094807</v>
          </cell>
          <cell r="E19">
            <v>7828107741</v>
          </cell>
          <cell r="F19">
            <v>2463430722</v>
          </cell>
          <cell r="G19">
            <v>452308649</v>
          </cell>
          <cell r="H19">
            <v>0</v>
          </cell>
          <cell r="I19">
            <v>0</v>
          </cell>
          <cell r="J19">
            <v>0</v>
          </cell>
          <cell r="K19">
            <v>6052975265.8699999</v>
          </cell>
          <cell r="L19">
            <v>1033434801.4900001</v>
          </cell>
          <cell r="M19">
            <v>442900629.20999998</v>
          </cell>
          <cell r="N19">
            <v>7234043610.4300003</v>
          </cell>
          <cell r="O19" t="str">
            <v>CUCUTA</v>
          </cell>
        </row>
        <row r="20">
          <cell r="B20" t="str">
            <v>QUINDIO</v>
          </cell>
          <cell r="C20">
            <v>33106726383</v>
          </cell>
          <cell r="D20">
            <v>9788472691</v>
          </cell>
          <cell r="E20">
            <v>2489625709</v>
          </cell>
          <cell r="F20">
            <v>1010717377</v>
          </cell>
          <cell r="G20">
            <v>195296756</v>
          </cell>
          <cell r="H20">
            <v>0</v>
          </cell>
          <cell r="I20">
            <v>0</v>
          </cell>
          <cell r="J20">
            <v>0</v>
          </cell>
          <cell r="K20">
            <v>2613539305.9200001</v>
          </cell>
          <cell r="L20">
            <v>446214027.84000003</v>
          </cell>
          <cell r="M20">
            <v>191234583.35999998</v>
          </cell>
          <cell r="N20">
            <v>3123498194.8800001</v>
          </cell>
          <cell r="O20" t="str">
            <v>ARMENIA</v>
          </cell>
        </row>
        <row r="21">
          <cell r="B21" t="str">
            <v>RISARALDA</v>
          </cell>
          <cell r="C21">
            <v>48108898913</v>
          </cell>
          <cell r="D21">
            <v>10264466392</v>
          </cell>
          <cell r="E21">
            <v>4444824925</v>
          </cell>
          <cell r="F21">
            <v>1822600514</v>
          </cell>
          <cell r="G21">
            <v>315239262</v>
          </cell>
          <cell r="H21">
            <v>0</v>
          </cell>
          <cell r="I21">
            <v>0</v>
          </cell>
          <cell r="J21">
            <v>0</v>
          </cell>
          <cell r="K21">
            <v>4218657898.6899996</v>
          </cell>
          <cell r="L21">
            <v>720258665.63000011</v>
          </cell>
          <cell r="M21">
            <v>308682285.26999998</v>
          </cell>
          <cell r="N21">
            <v>5041810659.4099998</v>
          </cell>
          <cell r="O21" t="str">
            <v>PEREIRA</v>
          </cell>
        </row>
        <row r="22">
          <cell r="B22" t="str">
            <v>SANTANDER</v>
          </cell>
          <cell r="C22">
            <v>55218734398</v>
          </cell>
          <cell r="D22">
            <v>8268578464</v>
          </cell>
          <cell r="E22">
            <v>3476445438</v>
          </cell>
          <cell r="F22">
            <v>1813723242</v>
          </cell>
          <cell r="G22">
            <v>333041719</v>
          </cell>
          <cell r="H22">
            <v>0</v>
          </cell>
          <cell r="I22">
            <v>0</v>
          </cell>
          <cell r="J22">
            <v>0</v>
          </cell>
          <cell r="K22">
            <v>4456897494.9499998</v>
          </cell>
          <cell r="L22">
            <v>760933718.6500001</v>
          </cell>
          <cell r="M22">
            <v>326114450.84999996</v>
          </cell>
          <cell r="N22">
            <v>5326536030.5500002</v>
          </cell>
          <cell r="O22" t="str">
            <v>BUCARAMANGA</v>
          </cell>
        </row>
        <row r="23">
          <cell r="B23" t="str">
            <v>SUCRE</v>
          </cell>
          <cell r="C23">
            <v>18715775681</v>
          </cell>
          <cell r="D23">
            <v>6506420000</v>
          </cell>
          <cell r="E23">
            <v>2942263193</v>
          </cell>
          <cell r="F23">
            <v>908755396</v>
          </cell>
          <cell r="G23">
            <v>184310989</v>
          </cell>
          <cell r="H23">
            <v>130231327</v>
          </cell>
          <cell r="I23">
            <v>0</v>
          </cell>
          <cell r="J23">
            <v>1684454990.1200001</v>
          </cell>
          <cell r="K23">
            <v>1775896832.4408</v>
          </cell>
          <cell r="L23">
            <v>303201898.22160006</v>
          </cell>
          <cell r="M23">
            <v>129943670.6664</v>
          </cell>
          <cell r="N23">
            <v>2122413287.5511999</v>
          </cell>
          <cell r="O23" t="str">
            <v>SINCELEJO</v>
          </cell>
        </row>
        <row r="24">
          <cell r="B24" t="str">
            <v xml:space="preserve">TOLIMA </v>
          </cell>
          <cell r="C24">
            <v>45219146584</v>
          </cell>
          <cell r="D24">
            <v>7652503621</v>
          </cell>
          <cell r="E24">
            <v>4128912157</v>
          </cell>
          <cell r="F24">
            <v>1640903484</v>
          </cell>
          <cell r="G24">
            <v>295485342</v>
          </cell>
          <cell r="H24">
            <v>0</v>
          </cell>
          <cell r="I24">
            <v>0</v>
          </cell>
          <cell r="J24">
            <v>0</v>
          </cell>
          <cell r="K24">
            <v>3954303039.1899996</v>
          </cell>
          <cell r="L24">
            <v>675124909.13000011</v>
          </cell>
          <cell r="M24">
            <v>289339246.76999998</v>
          </cell>
          <cell r="N24">
            <v>4725874363.9099998</v>
          </cell>
          <cell r="O24" t="str">
            <v>IBAGUE</v>
          </cell>
        </row>
        <row r="25">
          <cell r="B25" t="str">
            <v>VALLE DEL CAUCA</v>
          </cell>
          <cell r="C25">
            <v>84907273388</v>
          </cell>
          <cell r="D25">
            <v>34045225298</v>
          </cell>
          <cell r="E25">
            <v>23072323610</v>
          </cell>
          <cell r="F25">
            <v>8256567383</v>
          </cell>
          <cell r="G25">
            <v>1347943880</v>
          </cell>
          <cell r="H25">
            <v>0</v>
          </cell>
          <cell r="I25">
            <v>0</v>
          </cell>
          <cell r="J25">
            <v>0</v>
          </cell>
          <cell r="K25">
            <v>18038724179.629997</v>
          </cell>
          <cell r="L25">
            <v>3079782177.0100002</v>
          </cell>
          <cell r="M25">
            <v>1319906647.29</v>
          </cell>
          <cell r="N25">
            <v>21558475239.07</v>
          </cell>
          <cell r="O25" t="str">
            <v>CALI</v>
          </cell>
        </row>
        <row r="26">
          <cell r="B26" t="str">
            <v>ARAUCA</v>
          </cell>
          <cell r="C26">
            <v>542605477</v>
          </cell>
          <cell r="D26">
            <v>2542550015</v>
          </cell>
          <cell r="E26">
            <v>0</v>
          </cell>
          <cell r="F26">
            <v>411971319</v>
          </cell>
          <cell r="G26">
            <v>71998918</v>
          </cell>
          <cell r="H26">
            <v>40478517</v>
          </cell>
          <cell r="I26">
            <v>0</v>
          </cell>
          <cell r="J26">
            <v>658012514.04000008</v>
          </cell>
          <cell r="K26">
            <v>693733193.37360001</v>
          </cell>
          <cell r="L26">
            <v>118442252.52720001</v>
          </cell>
          <cell r="M26">
            <v>50760965.368799999</v>
          </cell>
          <cell r="N26">
            <v>829095767.6904</v>
          </cell>
          <cell r="O26" t="str">
            <v>ARAUCA</v>
          </cell>
        </row>
        <row r="27">
          <cell r="B27" t="str">
            <v>CASANARE</v>
          </cell>
          <cell r="C27">
            <v>513807529</v>
          </cell>
          <cell r="D27">
            <v>3171860934</v>
          </cell>
          <cell r="E27">
            <v>0</v>
          </cell>
          <cell r="F27">
            <v>387887825</v>
          </cell>
          <cell r="G27">
            <v>104426596</v>
          </cell>
          <cell r="H27">
            <v>0</v>
          </cell>
          <cell r="I27">
            <v>0</v>
          </cell>
          <cell r="J27">
            <v>954375544.08000004</v>
          </cell>
          <cell r="K27">
            <v>1006184502.1872</v>
          </cell>
          <cell r="L27">
            <v>171787597.93440002</v>
          </cell>
          <cell r="M27">
            <v>73623256.257599995</v>
          </cell>
          <cell r="N27">
            <v>1202513185.5408001</v>
          </cell>
          <cell r="O27" t="str">
            <v>YOPAL</v>
          </cell>
        </row>
        <row r="28">
          <cell r="B28" t="str">
            <v>PUTUMAYO</v>
          </cell>
          <cell r="C28">
            <v>220058799</v>
          </cell>
          <cell r="D28">
            <v>1811283769</v>
          </cell>
          <cell r="E28">
            <v>0</v>
          </cell>
          <cell r="F28">
            <v>182641981</v>
          </cell>
          <cell r="G28">
            <v>57732922</v>
          </cell>
          <cell r="H28">
            <v>262706475</v>
          </cell>
          <cell r="I28">
            <v>0</v>
          </cell>
          <cell r="J28">
            <v>527632719.32000005</v>
          </cell>
          <cell r="K28">
            <v>556275638.36879992</v>
          </cell>
          <cell r="L28">
            <v>94973889.477599993</v>
          </cell>
          <cell r="M28">
            <v>40703095.490399994</v>
          </cell>
          <cell r="N28">
            <v>664817226.34319985</v>
          </cell>
          <cell r="O28" t="str">
            <v>MOCOA</v>
          </cell>
        </row>
        <row r="29">
          <cell r="B29" t="str">
            <v>SAN ANDRES</v>
          </cell>
        </row>
        <row r="30">
          <cell r="B30" t="str">
            <v>AMAZONAS</v>
          </cell>
          <cell r="C30">
            <v>415923815</v>
          </cell>
          <cell r="D30">
            <v>1739709510</v>
          </cell>
          <cell r="E30">
            <v>0</v>
          </cell>
          <cell r="F30">
            <v>349955695</v>
          </cell>
          <cell r="G30">
            <v>64483737</v>
          </cell>
          <cell r="H30">
            <v>319430251</v>
          </cell>
          <cell r="I30">
            <v>0</v>
          </cell>
          <cell r="J30">
            <v>589329767.32000005</v>
          </cell>
          <cell r="K30">
            <v>621321954.68879986</v>
          </cell>
          <cell r="L30">
            <v>106079358.11759999</v>
          </cell>
          <cell r="M30">
            <v>45462582.050399996</v>
          </cell>
          <cell r="N30">
            <v>742555506.82319987</v>
          </cell>
          <cell r="O30" t="str">
            <v>LETICIA</v>
          </cell>
        </row>
        <row r="31">
          <cell r="B31" t="str">
            <v>GUAINIA</v>
          </cell>
          <cell r="C31">
            <v>471931032</v>
          </cell>
          <cell r="D31">
            <v>1497785961</v>
          </cell>
          <cell r="E31">
            <v>0</v>
          </cell>
          <cell r="F31">
            <v>441149817</v>
          </cell>
          <cell r="G31">
            <v>63883324</v>
          </cell>
          <cell r="H31">
            <v>552697804</v>
          </cell>
          <cell r="I31">
            <v>0</v>
          </cell>
          <cell r="J31">
            <v>583842474.88000011</v>
          </cell>
          <cell r="K31">
            <v>615536780.65919995</v>
          </cell>
          <cell r="L31">
            <v>105091645.47840001</v>
          </cell>
          <cell r="M31">
            <v>45039276.633599997</v>
          </cell>
          <cell r="N31">
            <v>735641518.34879994</v>
          </cell>
          <cell r="O31" t="str">
            <v>INIRIDA</v>
          </cell>
        </row>
        <row r="32">
          <cell r="B32" t="str">
            <v>GUAVIARE</v>
          </cell>
          <cell r="C32">
            <v>805021474</v>
          </cell>
          <cell r="D32">
            <v>2744380167</v>
          </cell>
          <cell r="E32">
            <v>0</v>
          </cell>
          <cell r="F32">
            <v>621143966</v>
          </cell>
          <cell r="G32">
            <v>80677825</v>
          </cell>
          <cell r="H32">
            <v>239011734</v>
          </cell>
          <cell r="I32">
            <v>0</v>
          </cell>
          <cell r="J32">
            <v>737330782.44000006</v>
          </cell>
          <cell r="K32">
            <v>777357310.62959993</v>
          </cell>
          <cell r="L32">
            <v>132719540.8392</v>
          </cell>
          <cell r="M32">
            <v>56879803.216799997</v>
          </cell>
          <cell r="N32">
            <v>929036785.8743999</v>
          </cell>
          <cell r="O32" t="str">
            <v>SAN JOSE DEL GUAVIAR</v>
          </cell>
        </row>
        <row r="33">
          <cell r="B33" t="str">
            <v>VAUPES</v>
          </cell>
          <cell r="C33">
            <v>490133031</v>
          </cell>
          <cell r="D33">
            <v>1643201917</v>
          </cell>
          <cell r="E33">
            <v>0</v>
          </cell>
          <cell r="F33">
            <v>402271830</v>
          </cell>
          <cell r="G33">
            <v>53162041</v>
          </cell>
          <cell r="H33">
            <v>1216509587</v>
          </cell>
          <cell r="I33">
            <v>0</v>
          </cell>
          <cell r="J33">
            <v>485858524.76000005</v>
          </cell>
          <cell r="K33">
            <v>512233701.81839997</v>
          </cell>
          <cell r="L33">
            <v>87454534.456800014</v>
          </cell>
          <cell r="M33">
            <v>37480514.767200001</v>
          </cell>
          <cell r="N33">
            <v>612181741.19760001</v>
          </cell>
          <cell r="O33" t="str">
            <v>MITU</v>
          </cell>
        </row>
        <row r="34">
          <cell r="B34" t="str">
            <v>VICHADA</v>
          </cell>
          <cell r="C34">
            <v>221097330</v>
          </cell>
          <cell r="D34">
            <v>868530330</v>
          </cell>
          <cell r="E34">
            <v>0</v>
          </cell>
          <cell r="F34">
            <v>328184345</v>
          </cell>
          <cell r="G34">
            <v>36262509</v>
          </cell>
          <cell r="H34">
            <v>129782564</v>
          </cell>
          <cell r="I34">
            <v>0</v>
          </cell>
          <cell r="J34">
            <v>331410326.52000004</v>
          </cell>
          <cell r="K34">
            <v>349401172.8168</v>
          </cell>
          <cell r="L34">
            <v>59653858.773600005</v>
          </cell>
          <cell r="M34">
            <v>25565939.474399999</v>
          </cell>
          <cell r="N34">
            <v>417577011.4152</v>
          </cell>
          <cell r="O34" t="str">
            <v>PUERTO CARRENO</v>
          </cell>
        </row>
        <row r="39">
          <cell r="B39" t="str">
            <v>ANTIOQUIA</v>
          </cell>
          <cell r="C39">
            <v>79267064547</v>
          </cell>
          <cell r="D39">
            <v>109933322400</v>
          </cell>
          <cell r="E39">
            <v>49468571276</v>
          </cell>
          <cell r="F39">
            <v>14433086854</v>
          </cell>
          <cell r="G39">
            <v>5530701195</v>
          </cell>
          <cell r="H39">
            <v>1136360329</v>
          </cell>
          <cell r="I39">
            <v>704666417</v>
          </cell>
          <cell r="J39">
            <v>44764597399.200005</v>
          </cell>
          <cell r="K39">
            <v>55660570785.937988</v>
          </cell>
          <cell r="L39">
            <v>9503024280.5259972</v>
          </cell>
          <cell r="M39">
            <v>4072724691.6540027</v>
          </cell>
          <cell r="N39">
            <v>66521169963.682014</v>
          </cell>
        </row>
        <row r="40">
          <cell r="B40" t="str">
            <v>ATLANTICO</v>
          </cell>
          <cell r="C40">
            <v>24074055744</v>
          </cell>
          <cell r="D40">
            <v>29665613381</v>
          </cell>
          <cell r="E40">
            <v>13080280414</v>
          </cell>
          <cell r="F40">
            <v>3147953348</v>
          </cell>
          <cell r="G40">
            <v>1119371540</v>
          </cell>
          <cell r="H40">
            <v>0</v>
          </cell>
          <cell r="I40">
            <v>298644340</v>
          </cell>
          <cell r="J40">
            <v>8052953883.5200005</v>
          </cell>
          <cell r="K40">
            <v>11678166629.4168</v>
          </cell>
          <cell r="L40">
            <v>1993833326.9736001</v>
          </cell>
          <cell r="M40">
            <v>854499997.2744</v>
          </cell>
          <cell r="N40">
            <v>13956833288.815199</v>
          </cell>
        </row>
        <row r="41">
          <cell r="B41" t="str">
            <v>BOGOTA</v>
          </cell>
        </row>
        <row r="42">
          <cell r="B42" t="str">
            <v>BOLIVAR</v>
          </cell>
          <cell r="C42">
            <v>18875285124</v>
          </cell>
          <cell r="D42">
            <v>46786759448</v>
          </cell>
          <cell r="E42">
            <v>16211934856</v>
          </cell>
          <cell r="F42">
            <v>5139235603</v>
          </cell>
          <cell r="G42">
            <v>2411604855</v>
          </cell>
          <cell r="H42">
            <v>0</v>
          </cell>
          <cell r="I42">
            <v>2385799155</v>
          </cell>
          <cell r="J42">
            <v>21455919877</v>
          </cell>
          <cell r="K42">
            <v>23476133634.430004</v>
          </cell>
          <cell r="L42">
            <v>4008120376.6100011</v>
          </cell>
          <cell r="M42">
            <v>1717765875.6899998</v>
          </cell>
          <cell r="N42">
            <v>28056842636.27</v>
          </cell>
        </row>
        <row r="43">
          <cell r="B43" t="str">
            <v>BOYACA</v>
          </cell>
          <cell r="C43">
            <v>35220532388</v>
          </cell>
          <cell r="D43">
            <v>56869781879</v>
          </cell>
          <cell r="E43">
            <v>465189624</v>
          </cell>
          <cell r="F43">
            <v>4150725212</v>
          </cell>
          <cell r="G43">
            <v>4288681770</v>
          </cell>
          <cell r="H43">
            <v>246012452</v>
          </cell>
          <cell r="I43">
            <v>201333262</v>
          </cell>
          <cell r="J43">
            <v>39195120446.439995</v>
          </cell>
          <cell r="K43">
            <v>41322855556.38961</v>
          </cell>
          <cell r="L43">
            <v>7055121680.3592024</v>
          </cell>
          <cell r="M43">
            <v>3023623577.2967987</v>
          </cell>
          <cell r="N43">
            <v>49385851762.514412</v>
          </cell>
        </row>
        <row r="44">
          <cell r="B44" t="str">
            <v>CALDAS</v>
          </cell>
          <cell r="C44">
            <v>5567690446</v>
          </cell>
          <cell r="D44">
            <v>23953958958</v>
          </cell>
          <cell r="E44">
            <v>8496511796</v>
          </cell>
          <cell r="F44">
            <v>2253276503</v>
          </cell>
          <cell r="G44">
            <v>1045092395</v>
          </cell>
          <cell r="H44">
            <v>3940686875</v>
          </cell>
          <cell r="I44">
            <v>201333262</v>
          </cell>
          <cell r="J44">
            <v>8864205778.9600029</v>
          </cell>
          <cell r="K44">
            <v>10351520088.5364</v>
          </cell>
          <cell r="L44">
            <v>1767332698.0428002</v>
          </cell>
          <cell r="M44">
            <v>757428299.16120005</v>
          </cell>
          <cell r="N44">
            <v>12371328886.299601</v>
          </cell>
        </row>
        <row r="45">
          <cell r="B45" t="str">
            <v>CAQUETA</v>
          </cell>
          <cell r="C45">
            <v>3454554370</v>
          </cell>
          <cell r="D45">
            <v>13454578154</v>
          </cell>
          <cell r="E45">
            <v>0</v>
          </cell>
          <cell r="F45">
            <v>3133505665</v>
          </cell>
          <cell r="G45">
            <v>745678360</v>
          </cell>
          <cell r="H45">
            <v>440865802</v>
          </cell>
          <cell r="I45">
            <v>0</v>
          </cell>
          <cell r="J45">
            <v>6814903676.000001</v>
          </cell>
          <cell r="K45">
            <v>7184855589.8399992</v>
          </cell>
          <cell r="L45">
            <v>1226682661.6800001</v>
          </cell>
          <cell r="M45">
            <v>525721140.71999997</v>
          </cell>
          <cell r="N45">
            <v>8586778631.7600002</v>
          </cell>
        </row>
        <row r="46">
          <cell r="B46" t="str">
            <v>CAUCA</v>
          </cell>
          <cell r="C46">
            <v>8369643656</v>
          </cell>
          <cell r="D46">
            <v>48152045296</v>
          </cell>
          <cell r="E46">
            <v>802597440</v>
          </cell>
          <cell r="F46">
            <v>4461448748</v>
          </cell>
          <cell r="G46">
            <v>2022944117</v>
          </cell>
          <cell r="H46">
            <v>14985218912</v>
          </cell>
          <cell r="I46">
            <v>0</v>
          </cell>
          <cell r="J46">
            <v>18488090879.16</v>
          </cell>
          <cell r="K46">
            <v>19491730098.314396</v>
          </cell>
          <cell r="L46">
            <v>3327856358.2488008</v>
          </cell>
          <cell r="M46">
            <v>1426224153.5351996</v>
          </cell>
          <cell r="N46">
            <v>23294994507.7416</v>
          </cell>
        </row>
        <row r="47">
          <cell r="B47" t="str">
            <v>CESAR</v>
          </cell>
          <cell r="C47">
            <v>5204912650</v>
          </cell>
          <cell r="D47">
            <v>34694958116</v>
          </cell>
          <cell r="E47">
            <v>8823303196</v>
          </cell>
          <cell r="F47">
            <v>2968647934</v>
          </cell>
          <cell r="G47">
            <v>1133167374</v>
          </cell>
          <cell r="H47">
            <v>221689441</v>
          </cell>
          <cell r="I47">
            <v>322133219</v>
          </cell>
          <cell r="J47">
            <v>10356243272.199999</v>
          </cell>
          <cell r="K47">
            <v>10918439335.547998</v>
          </cell>
          <cell r="L47">
            <v>1864123788.9960001</v>
          </cell>
          <cell r="M47">
            <v>798910195.28400004</v>
          </cell>
          <cell r="N47">
            <v>13048866522.972</v>
          </cell>
        </row>
        <row r="48">
          <cell r="B48" t="str">
            <v>CORDOBA</v>
          </cell>
          <cell r="C48">
            <v>33404167404</v>
          </cell>
          <cell r="D48">
            <v>42081468165</v>
          </cell>
          <cell r="E48">
            <v>14015598752</v>
          </cell>
          <cell r="F48">
            <v>5224546134</v>
          </cell>
          <cell r="G48">
            <v>1705907008</v>
          </cell>
          <cell r="H48">
            <v>2042145686</v>
          </cell>
          <cell r="I48">
            <v>0</v>
          </cell>
          <cell r="J48">
            <v>14846805980.160006</v>
          </cell>
          <cell r="K48">
            <v>16741939450.534397</v>
          </cell>
          <cell r="L48">
            <v>2858379906.1888008</v>
          </cell>
          <cell r="M48">
            <v>1225019959.7951999</v>
          </cell>
          <cell r="N48">
            <v>20008659343.321594</v>
          </cell>
        </row>
        <row r="49">
          <cell r="B49" t="str">
            <v>CUNDINAMARCA</v>
          </cell>
          <cell r="C49">
            <v>52260568648</v>
          </cell>
          <cell r="D49">
            <v>80883693004</v>
          </cell>
          <cell r="E49">
            <v>2247967807</v>
          </cell>
          <cell r="F49">
            <v>7587352128</v>
          </cell>
          <cell r="G49">
            <v>4661637059</v>
          </cell>
          <cell r="H49">
            <v>0</v>
          </cell>
          <cell r="I49">
            <v>687888645</v>
          </cell>
          <cell r="J49">
            <v>39278797044.199989</v>
          </cell>
          <cell r="K49">
            <v>46279584989.928001</v>
          </cell>
          <cell r="L49">
            <v>7901392559.2560005</v>
          </cell>
          <cell r="M49">
            <v>3386311096.8240008</v>
          </cell>
          <cell r="N49">
            <v>55309747914.792007</v>
          </cell>
        </row>
        <row r="50">
          <cell r="B50" t="str">
            <v>CHOCO</v>
          </cell>
          <cell r="C50">
            <v>4096598577</v>
          </cell>
          <cell r="D50">
            <v>17550792899</v>
          </cell>
          <cell r="E50">
            <v>0</v>
          </cell>
          <cell r="F50">
            <v>2206932737</v>
          </cell>
          <cell r="G50">
            <v>1313295369</v>
          </cell>
          <cell r="H50">
            <v>2890938011</v>
          </cell>
          <cell r="I50">
            <v>0</v>
          </cell>
          <cell r="J50">
            <v>12002469023.440001</v>
          </cell>
          <cell r="K50">
            <v>12654031627.569601</v>
          </cell>
          <cell r="L50">
            <v>2160444424.2192001</v>
          </cell>
          <cell r="M50">
            <v>925904753.23679996</v>
          </cell>
          <cell r="N50">
            <v>15123110969.534399</v>
          </cell>
        </row>
        <row r="51">
          <cell r="B51" t="str">
            <v>HUILA</v>
          </cell>
          <cell r="C51">
            <v>7102830019</v>
          </cell>
          <cell r="D51">
            <v>28373779150</v>
          </cell>
          <cell r="E51">
            <v>9065398800</v>
          </cell>
          <cell r="F51">
            <v>2620701357</v>
          </cell>
          <cell r="G51">
            <v>1393862615</v>
          </cell>
          <cell r="H51">
            <v>138129576</v>
          </cell>
          <cell r="I51">
            <v>1573754998</v>
          </cell>
          <cell r="J51">
            <v>12738789205.24</v>
          </cell>
          <cell r="K51">
            <v>13430323476.381599</v>
          </cell>
          <cell r="L51">
            <v>2292982056.9431996</v>
          </cell>
          <cell r="M51">
            <v>982706595.83279955</v>
          </cell>
          <cell r="N51">
            <v>16050874398.602404</v>
          </cell>
        </row>
        <row r="52">
          <cell r="B52" t="str">
            <v>GUAJIRA</v>
          </cell>
          <cell r="C52">
            <v>9548639348</v>
          </cell>
          <cell r="D52">
            <v>18170425440</v>
          </cell>
          <cell r="E52">
            <v>635784639</v>
          </cell>
          <cell r="F52">
            <v>1896911951</v>
          </cell>
          <cell r="G52">
            <v>669357384</v>
          </cell>
          <cell r="H52">
            <v>12168326967</v>
          </cell>
          <cell r="I52">
            <v>0</v>
          </cell>
          <cell r="J52">
            <v>6117391002.5200005</v>
          </cell>
          <cell r="K52">
            <v>6449477942.6567993</v>
          </cell>
          <cell r="L52">
            <v>1101130380.4536002</v>
          </cell>
          <cell r="M52">
            <v>471913020.19440001</v>
          </cell>
          <cell r="N52">
            <v>7707912663.1751995</v>
          </cell>
        </row>
        <row r="53">
          <cell r="B53" t="str">
            <v>MAGDALENA</v>
          </cell>
          <cell r="C53">
            <v>21740144344</v>
          </cell>
          <cell r="D53">
            <v>35532848958</v>
          </cell>
          <cell r="E53">
            <v>2607551237</v>
          </cell>
          <cell r="F53">
            <v>3763761431</v>
          </cell>
          <cell r="G53">
            <v>1699262939</v>
          </cell>
          <cell r="H53">
            <v>410529353</v>
          </cell>
          <cell r="I53">
            <v>1154310702</v>
          </cell>
          <cell r="J53">
            <v>14531961534.719999</v>
          </cell>
          <cell r="K53">
            <v>16782112116.224794</v>
          </cell>
          <cell r="L53">
            <v>2865238653.9896002</v>
          </cell>
          <cell r="M53">
            <v>1227959423.1383998</v>
          </cell>
          <cell r="N53">
            <v>20056670577.9272</v>
          </cell>
        </row>
        <row r="54">
          <cell r="B54" t="str">
            <v>META</v>
          </cell>
          <cell r="C54">
            <v>4499651470</v>
          </cell>
          <cell r="D54">
            <v>15066509081</v>
          </cell>
          <cell r="E54">
            <v>5066044089</v>
          </cell>
          <cell r="F54">
            <v>3225834332</v>
          </cell>
          <cell r="G54">
            <v>1107371746</v>
          </cell>
          <cell r="H54">
            <v>695315020</v>
          </cell>
          <cell r="I54">
            <v>0</v>
          </cell>
          <cell r="J54">
            <v>10120491855.040001</v>
          </cell>
          <cell r="K54">
            <v>10669889984.313599</v>
          </cell>
          <cell r="L54">
            <v>1821688533.9071999</v>
          </cell>
          <cell r="M54">
            <v>780723657.38880014</v>
          </cell>
          <cell r="N54">
            <v>12751819737.350397</v>
          </cell>
        </row>
        <row r="55">
          <cell r="B55" t="str">
            <v>NARIÑO</v>
          </cell>
          <cell r="C55">
            <v>21171242331</v>
          </cell>
          <cell r="D55">
            <v>70120786499</v>
          </cell>
          <cell r="E55">
            <v>15105479835</v>
          </cell>
          <cell r="F55">
            <v>4960611626</v>
          </cell>
          <cell r="G55">
            <v>2770635222</v>
          </cell>
          <cell r="H55">
            <v>7069828845</v>
          </cell>
          <cell r="I55">
            <v>0</v>
          </cell>
          <cell r="J55">
            <v>24025260871.639996</v>
          </cell>
          <cell r="K55">
            <v>27227391843.227592</v>
          </cell>
          <cell r="L55">
            <v>4648579095.1852007</v>
          </cell>
          <cell r="M55">
            <v>1992248183.6507995</v>
          </cell>
          <cell r="N55">
            <v>32540053666.296398</v>
          </cell>
        </row>
        <row r="56">
          <cell r="B56" t="str">
            <v>NORTE DE SANTANDER</v>
          </cell>
          <cell r="C56">
            <v>5308228073</v>
          </cell>
          <cell r="D56">
            <v>27435564174</v>
          </cell>
          <cell r="E56">
            <v>2427602737</v>
          </cell>
          <cell r="F56">
            <v>3038494295</v>
          </cell>
          <cell r="G56">
            <v>1530017341</v>
          </cell>
          <cell r="H56">
            <v>351202746</v>
          </cell>
          <cell r="I56">
            <v>0</v>
          </cell>
          <cell r="J56">
            <v>13451607413.720007</v>
          </cell>
          <cell r="K56">
            <v>14960145016.684797</v>
          </cell>
          <cell r="L56">
            <v>2554171100.4095998</v>
          </cell>
          <cell r="M56">
            <v>1094644757.3184001</v>
          </cell>
          <cell r="N56">
            <v>17879197702.867199</v>
          </cell>
        </row>
        <row r="57">
          <cell r="B57" t="str">
            <v>QUINDIO</v>
          </cell>
          <cell r="C57">
            <v>1988865464</v>
          </cell>
          <cell r="D57">
            <v>14209389630</v>
          </cell>
          <cell r="E57">
            <v>753544757</v>
          </cell>
          <cell r="F57">
            <v>993481996</v>
          </cell>
          <cell r="G57">
            <v>409425684</v>
          </cell>
          <cell r="H57">
            <v>0</v>
          </cell>
          <cell r="I57">
            <v>0</v>
          </cell>
          <cell r="J57">
            <v>3741823208.2000003</v>
          </cell>
          <cell r="K57">
            <v>3944950753.7880001</v>
          </cell>
          <cell r="L57">
            <v>673528177.47600019</v>
          </cell>
          <cell r="M57">
            <v>288654933.204</v>
          </cell>
          <cell r="N57">
            <v>4714697242.3320007</v>
          </cell>
        </row>
        <row r="58">
          <cell r="B58" t="str">
            <v>RISARALDA</v>
          </cell>
          <cell r="C58">
            <v>16446068847</v>
          </cell>
          <cell r="D58">
            <v>15396102997</v>
          </cell>
          <cell r="E58">
            <v>5370801532</v>
          </cell>
          <cell r="F58">
            <v>1893724453</v>
          </cell>
          <cell r="G58">
            <v>580468178</v>
          </cell>
          <cell r="H58">
            <v>839458031</v>
          </cell>
          <cell r="I58">
            <v>0</v>
          </cell>
          <cell r="J58">
            <v>4044925017.8400002</v>
          </cell>
          <cell r="K58">
            <v>6109638110.5355988</v>
          </cell>
          <cell r="L58">
            <v>1043108945.7012001</v>
          </cell>
          <cell r="M58">
            <v>447046691.01479995</v>
          </cell>
          <cell r="N58">
            <v>7301762619.9084005</v>
          </cell>
        </row>
        <row r="59">
          <cell r="B59" t="str">
            <v>SANTANDER</v>
          </cell>
          <cell r="C59">
            <v>55160068495</v>
          </cell>
          <cell r="D59">
            <v>56230936971</v>
          </cell>
          <cell r="E59">
            <v>8928539346</v>
          </cell>
          <cell r="F59">
            <v>5546532962</v>
          </cell>
          <cell r="G59">
            <v>3292517565</v>
          </cell>
          <cell r="H59">
            <v>65788809</v>
          </cell>
          <cell r="I59">
            <v>828821929</v>
          </cell>
          <cell r="J59">
            <v>27333133928.240005</v>
          </cell>
          <cell r="K59">
            <v>32855202143.651596</v>
          </cell>
          <cell r="L59">
            <v>5609424756.2332001</v>
          </cell>
          <cell r="M59">
            <v>2404039181.2427979</v>
          </cell>
          <cell r="N59">
            <v>39265973293.632401</v>
          </cell>
        </row>
        <row r="60">
          <cell r="B60" t="str">
            <v>SUCRE</v>
          </cell>
          <cell r="C60">
            <v>5997717130</v>
          </cell>
          <cell r="D60">
            <v>24995355844</v>
          </cell>
          <cell r="E60">
            <v>5707980338</v>
          </cell>
          <cell r="F60">
            <v>2327183912</v>
          </cell>
          <cell r="G60">
            <v>1229509482</v>
          </cell>
          <cell r="H60">
            <v>943750797</v>
          </cell>
          <cell r="I60">
            <v>0</v>
          </cell>
          <cell r="J60">
            <v>11236733054.960005</v>
          </cell>
          <cell r="K60">
            <v>11846727135.086397</v>
          </cell>
          <cell r="L60">
            <v>2022611949.8928006</v>
          </cell>
          <cell r="M60">
            <v>866833692.8111999</v>
          </cell>
          <cell r="N60">
            <v>14158283649.249599</v>
          </cell>
        </row>
        <row r="61">
          <cell r="B61" t="str">
            <v xml:space="preserve">TOLIMA </v>
          </cell>
          <cell r="C61">
            <v>6638063153</v>
          </cell>
          <cell r="D61">
            <v>32083643905</v>
          </cell>
          <cell r="E61">
            <v>14739655142</v>
          </cell>
          <cell r="F61">
            <v>3597854172</v>
          </cell>
          <cell r="G61">
            <v>2044950050</v>
          </cell>
          <cell r="H61">
            <v>1476254219</v>
          </cell>
          <cell r="I61">
            <v>1020088528</v>
          </cell>
          <cell r="J61">
            <v>18051437223.120003</v>
          </cell>
          <cell r="K61">
            <v>19965250269.600788</v>
          </cell>
          <cell r="L61">
            <v>3408701265.5415998</v>
          </cell>
          <cell r="M61">
            <v>1460871970.9463997</v>
          </cell>
          <cell r="N61">
            <v>23860908858.791206</v>
          </cell>
        </row>
        <row r="62">
          <cell r="B62" t="str">
            <v>VALLE DEL CAUCA</v>
          </cell>
          <cell r="C62">
            <v>77990059039</v>
          </cell>
          <cell r="D62">
            <v>54314266755</v>
          </cell>
          <cell r="E62">
            <v>11400666470</v>
          </cell>
          <cell r="F62">
            <v>8376421115</v>
          </cell>
          <cell r="G62">
            <v>2165620831</v>
          </cell>
          <cell r="H62">
            <v>602420860</v>
          </cell>
          <cell r="I62">
            <v>0</v>
          </cell>
          <cell r="J62">
            <v>11250757444.08</v>
          </cell>
          <cell r="K62">
            <v>24368393664.967197</v>
          </cell>
          <cell r="L62">
            <v>4160457454.9944015</v>
          </cell>
          <cell r="M62">
            <v>1783053194.9976006</v>
          </cell>
          <cell r="N62">
            <v>29123202184.960804</v>
          </cell>
        </row>
        <row r="63">
          <cell r="B63" t="str">
            <v>ARAUCA</v>
          </cell>
          <cell r="C63">
            <v>1777391873</v>
          </cell>
          <cell r="D63">
            <v>6620540177</v>
          </cell>
          <cell r="E63">
            <v>0</v>
          </cell>
          <cell r="F63">
            <v>1105791246</v>
          </cell>
          <cell r="G63">
            <v>290997895</v>
          </cell>
          <cell r="H63">
            <v>212893666</v>
          </cell>
          <cell r="I63">
            <v>0</v>
          </cell>
          <cell r="J63">
            <v>2659487956.1599998</v>
          </cell>
          <cell r="K63">
            <v>2803860159.4944</v>
          </cell>
          <cell r="L63">
            <v>478707832.10880005</v>
          </cell>
          <cell r="M63">
            <v>205160499.47519997</v>
          </cell>
          <cell r="N63">
            <v>3350954824.7616005</v>
          </cell>
        </row>
        <row r="64">
          <cell r="B64" t="str">
            <v>CASANARE</v>
          </cell>
          <cell r="C64">
            <v>2638716523</v>
          </cell>
          <cell r="D64">
            <v>13206145161</v>
          </cell>
          <cell r="E64">
            <v>0</v>
          </cell>
          <cell r="F64">
            <v>1665011730</v>
          </cell>
          <cell r="G64">
            <v>639749370</v>
          </cell>
          <cell r="H64">
            <v>494896994</v>
          </cell>
          <cell r="I64">
            <v>0</v>
          </cell>
          <cell r="J64">
            <v>5846797435.0800009</v>
          </cell>
          <cell r="K64">
            <v>6164195010.1271992</v>
          </cell>
          <cell r="L64">
            <v>1052423538.3144</v>
          </cell>
          <cell r="M64">
            <v>451038659.27759999</v>
          </cell>
          <cell r="N64">
            <v>7366964768.2007999</v>
          </cell>
        </row>
        <row r="65">
          <cell r="B65" t="str">
            <v>PUTUMAYO</v>
          </cell>
          <cell r="C65">
            <v>3406930358</v>
          </cell>
          <cell r="D65">
            <v>15769410905</v>
          </cell>
          <cell r="E65">
            <v>1032518642</v>
          </cell>
          <cell r="F65">
            <v>2026421760</v>
          </cell>
          <cell r="G65">
            <v>734774005</v>
          </cell>
          <cell r="H65">
            <v>977677359</v>
          </cell>
          <cell r="I65">
            <v>0</v>
          </cell>
          <cell r="J65">
            <v>6715246572.1599998</v>
          </cell>
          <cell r="K65">
            <v>7079788528.9343996</v>
          </cell>
          <cell r="L65">
            <v>1208744382.9888</v>
          </cell>
          <cell r="M65">
            <v>518033306.99519998</v>
          </cell>
          <cell r="N65">
            <v>8461210680.9215994</v>
          </cell>
        </row>
        <row r="66">
          <cell r="B66" t="str">
            <v>SAN ANDRES</v>
          </cell>
          <cell r="C66">
            <v>88458800</v>
          </cell>
          <cell r="D66">
            <v>164466235</v>
          </cell>
          <cell r="E66">
            <v>0</v>
          </cell>
          <cell r="F66">
            <v>15237956</v>
          </cell>
          <cell r="G66">
            <v>33086466</v>
          </cell>
          <cell r="H66">
            <v>0</v>
          </cell>
          <cell r="I66">
            <v>0</v>
          </cell>
          <cell r="J66">
            <v>302383834.20000005</v>
          </cell>
          <cell r="K66">
            <v>318798956.62799996</v>
          </cell>
          <cell r="L66">
            <v>54429090.156000003</v>
          </cell>
          <cell r="M66">
            <v>23326752.923999999</v>
          </cell>
          <cell r="N66">
            <v>381003631.09199995</v>
          </cell>
        </row>
        <row r="67">
          <cell r="B67" t="str">
            <v>AMAZONAS</v>
          </cell>
          <cell r="C67">
            <v>157026349</v>
          </cell>
          <cell r="D67">
            <v>553119092</v>
          </cell>
          <cell r="E67">
            <v>0</v>
          </cell>
          <cell r="F67">
            <v>67905757</v>
          </cell>
          <cell r="G67">
            <v>39607231</v>
          </cell>
          <cell r="H67">
            <v>308929172</v>
          </cell>
          <cell r="I67">
            <v>0</v>
          </cell>
          <cell r="J67">
            <v>361978409.52000004</v>
          </cell>
          <cell r="K67">
            <v>381628666.03679997</v>
          </cell>
          <cell r="L67">
            <v>65156113.71360001</v>
          </cell>
          <cell r="M67">
            <v>27924048.7344</v>
          </cell>
          <cell r="N67">
            <v>456092795.99519998</v>
          </cell>
        </row>
        <row r="68">
          <cell r="B68" t="str">
            <v>GUAINIA</v>
          </cell>
        </row>
        <row r="69">
          <cell r="B69" t="str">
            <v>GUAVIARE</v>
          </cell>
          <cell r="C69">
            <v>913187092</v>
          </cell>
          <cell r="D69">
            <v>3358100375</v>
          </cell>
          <cell r="E69">
            <v>0</v>
          </cell>
          <cell r="F69">
            <v>1092017064</v>
          </cell>
          <cell r="G69">
            <v>170402251</v>
          </cell>
          <cell r="H69">
            <v>168107013</v>
          </cell>
          <cell r="I69">
            <v>0</v>
          </cell>
          <cell r="J69">
            <v>1557340248.8000002</v>
          </cell>
          <cell r="K69">
            <v>1641881576.592</v>
          </cell>
          <cell r="L69">
            <v>280321244.78400004</v>
          </cell>
          <cell r="M69">
            <v>120137676.336</v>
          </cell>
          <cell r="N69">
            <v>1962248713.4879999</v>
          </cell>
        </row>
        <row r="70">
          <cell r="B70" t="str">
            <v>VAUPES</v>
          </cell>
          <cell r="C70">
            <v>124222080</v>
          </cell>
          <cell r="D70">
            <v>350828194</v>
          </cell>
          <cell r="E70">
            <v>0</v>
          </cell>
          <cell r="F70">
            <v>271977711</v>
          </cell>
          <cell r="G70">
            <v>119110749</v>
          </cell>
          <cell r="H70">
            <v>221958698</v>
          </cell>
          <cell r="I70">
            <v>0</v>
          </cell>
          <cell r="J70">
            <v>1088576959.96</v>
          </cell>
          <cell r="K70">
            <v>1147671137.7863998</v>
          </cell>
          <cell r="L70">
            <v>195943852.79280004</v>
          </cell>
          <cell r="M70">
            <v>83975936.911200002</v>
          </cell>
          <cell r="N70">
            <v>1371606969.5496001</v>
          </cell>
        </row>
        <row r="71">
          <cell r="B71" t="str">
            <v>VICHADA</v>
          </cell>
          <cell r="C71">
            <v>1035472937</v>
          </cell>
          <cell r="D71">
            <v>3029334143</v>
          </cell>
          <cell r="E71">
            <v>0</v>
          </cell>
          <cell r="F71">
            <v>2026293813</v>
          </cell>
          <cell r="G71">
            <v>175659049</v>
          </cell>
          <cell r="H71">
            <v>1597061494</v>
          </cell>
          <cell r="I71">
            <v>0</v>
          </cell>
          <cell r="J71">
            <v>1605383183.0400002</v>
          </cell>
          <cell r="K71">
            <v>1692532555.8335996</v>
          </cell>
          <cell r="L71">
            <v>288968972.9472</v>
          </cell>
          <cell r="M71">
            <v>123843845.54879998</v>
          </cell>
          <cell r="N71">
            <v>2022782810.6303997</v>
          </cell>
        </row>
        <row r="76">
          <cell r="B76" t="str">
            <v>ANTIOQUIA</v>
          </cell>
          <cell r="C76">
            <v>243273060254</v>
          </cell>
          <cell r="D76">
            <v>0</v>
          </cell>
          <cell r="E76">
            <v>50679915627</v>
          </cell>
          <cell r="F76">
            <v>17258680947</v>
          </cell>
          <cell r="G76">
            <v>0</v>
          </cell>
          <cell r="H76">
            <v>0</v>
          </cell>
          <cell r="I76">
            <v>0</v>
          </cell>
        </row>
        <row r="77">
          <cell r="B77" t="str">
            <v>ATLANTICO</v>
          </cell>
          <cell r="C77">
            <v>62631807780</v>
          </cell>
          <cell r="D77">
            <v>0</v>
          </cell>
          <cell r="E77">
            <v>15184804151</v>
          </cell>
          <cell r="F77">
            <v>6366460414</v>
          </cell>
          <cell r="G77">
            <v>0</v>
          </cell>
          <cell r="H77">
            <v>0</v>
          </cell>
          <cell r="I77">
            <v>0</v>
          </cell>
        </row>
        <row r="79">
          <cell r="B79" t="str">
            <v>BOLIVAR</v>
          </cell>
          <cell r="C79">
            <v>95405173931</v>
          </cell>
          <cell r="D79">
            <v>0</v>
          </cell>
          <cell r="E79">
            <v>23588622914</v>
          </cell>
          <cell r="F79">
            <v>7208842505</v>
          </cell>
          <cell r="G79">
            <v>0</v>
          </cell>
          <cell r="H79">
            <v>0</v>
          </cell>
          <cell r="I79">
            <v>0</v>
          </cell>
        </row>
        <row r="80">
          <cell r="B80" t="str">
            <v>BOYACA</v>
          </cell>
          <cell r="C80">
            <v>185153177092</v>
          </cell>
          <cell r="D80">
            <v>0</v>
          </cell>
          <cell r="E80">
            <v>33814551824</v>
          </cell>
          <cell r="F80">
            <v>3688243595</v>
          </cell>
          <cell r="G80">
            <v>0</v>
          </cell>
          <cell r="H80">
            <v>0</v>
          </cell>
          <cell r="I80">
            <v>0</v>
          </cell>
        </row>
        <row r="81">
          <cell r="B81" t="str">
            <v>CALDAS</v>
          </cell>
          <cell r="C81">
            <v>71745065786</v>
          </cell>
          <cell r="D81">
            <v>0</v>
          </cell>
          <cell r="E81">
            <v>17763042705</v>
          </cell>
          <cell r="F81">
            <v>2588742072</v>
          </cell>
          <cell r="G81">
            <v>0</v>
          </cell>
          <cell r="H81">
            <v>0</v>
          </cell>
          <cell r="I81">
            <v>0</v>
          </cell>
        </row>
        <row r="82">
          <cell r="B82" t="str">
            <v>CAQUETA</v>
          </cell>
          <cell r="C82">
            <v>29820919546</v>
          </cell>
          <cell r="D82">
            <v>0</v>
          </cell>
          <cell r="E82">
            <v>24575236218</v>
          </cell>
          <cell r="F82">
            <v>3016980435</v>
          </cell>
          <cell r="G82">
            <v>0</v>
          </cell>
          <cell r="H82">
            <v>0</v>
          </cell>
          <cell r="I82">
            <v>0</v>
          </cell>
        </row>
        <row r="83">
          <cell r="B83" t="str">
            <v>CAUCA</v>
          </cell>
          <cell r="C83">
            <v>113696618184</v>
          </cell>
          <cell r="D83">
            <v>0</v>
          </cell>
          <cell r="E83">
            <v>40510093201</v>
          </cell>
          <cell r="F83">
            <v>4124346913</v>
          </cell>
          <cell r="G83">
            <v>0</v>
          </cell>
          <cell r="H83">
            <v>0</v>
          </cell>
          <cell r="I83">
            <v>0</v>
          </cell>
        </row>
        <row r="84">
          <cell r="B84" t="str">
            <v>CESAR</v>
          </cell>
          <cell r="C84">
            <v>62461592594</v>
          </cell>
          <cell r="D84">
            <v>0</v>
          </cell>
          <cell r="E84">
            <v>13994525029</v>
          </cell>
          <cell r="F84">
            <v>3683632115</v>
          </cell>
          <cell r="G84">
            <v>0</v>
          </cell>
          <cell r="H84">
            <v>0</v>
          </cell>
          <cell r="I84">
            <v>0</v>
          </cell>
        </row>
        <row r="85">
          <cell r="B85" t="str">
            <v>CORDOBA</v>
          </cell>
          <cell r="C85">
            <v>99926898938</v>
          </cell>
          <cell r="D85">
            <v>0</v>
          </cell>
          <cell r="E85">
            <v>24724120598</v>
          </cell>
          <cell r="F85">
            <v>4859473123</v>
          </cell>
          <cell r="G85">
            <v>0</v>
          </cell>
          <cell r="H85">
            <v>0</v>
          </cell>
          <cell r="I85">
            <v>0</v>
          </cell>
        </row>
        <row r="86">
          <cell r="B86" t="str">
            <v>CUNDINAMARCA</v>
          </cell>
          <cell r="C86">
            <v>224072478543</v>
          </cell>
          <cell r="D86">
            <v>0</v>
          </cell>
          <cell r="E86">
            <v>50946480954</v>
          </cell>
          <cell r="F86">
            <v>6207833561</v>
          </cell>
          <cell r="G86">
            <v>0</v>
          </cell>
          <cell r="H86">
            <v>0</v>
          </cell>
          <cell r="I86">
            <v>0</v>
          </cell>
        </row>
        <row r="87">
          <cell r="B87" t="str">
            <v>CHOCO</v>
          </cell>
          <cell r="C87">
            <v>79587045105</v>
          </cell>
          <cell r="D87">
            <v>0</v>
          </cell>
          <cell r="E87">
            <v>24586044155</v>
          </cell>
          <cell r="F87">
            <v>2366765740</v>
          </cell>
          <cell r="G87">
            <v>0</v>
          </cell>
          <cell r="H87">
            <v>0</v>
          </cell>
          <cell r="I87">
            <v>0</v>
          </cell>
        </row>
        <row r="88">
          <cell r="B88" t="str">
            <v>HUILA</v>
          </cell>
          <cell r="C88">
            <v>73850537209</v>
          </cell>
          <cell r="D88">
            <v>0</v>
          </cell>
          <cell r="E88">
            <v>12492600012</v>
          </cell>
          <cell r="F88">
            <v>3212329746</v>
          </cell>
          <cell r="G88">
            <v>0</v>
          </cell>
          <cell r="H88">
            <v>0</v>
          </cell>
          <cell r="I88">
            <v>0</v>
          </cell>
        </row>
        <row r="89">
          <cell r="B89" t="str">
            <v>GUAJIRA</v>
          </cell>
          <cell r="C89">
            <v>49389838419</v>
          </cell>
          <cell r="D89">
            <v>0</v>
          </cell>
          <cell r="E89">
            <v>17822172535</v>
          </cell>
          <cell r="F89">
            <v>1945765506</v>
          </cell>
          <cell r="G89">
            <v>0</v>
          </cell>
          <cell r="H89">
            <v>0</v>
          </cell>
          <cell r="I89">
            <v>0</v>
          </cell>
        </row>
        <row r="90">
          <cell r="B90" t="str">
            <v>MAGDALENA</v>
          </cell>
          <cell r="C90">
            <v>70459820100</v>
          </cell>
          <cell r="D90">
            <v>0</v>
          </cell>
          <cell r="E90">
            <v>28544323727</v>
          </cell>
          <cell r="F90">
            <v>4361475790</v>
          </cell>
          <cell r="G90">
            <v>0</v>
          </cell>
          <cell r="H90">
            <v>0</v>
          </cell>
          <cell r="I90">
            <v>0</v>
          </cell>
        </row>
        <row r="91">
          <cell r="B91" t="str">
            <v>META</v>
          </cell>
          <cell r="C91">
            <v>43659167737</v>
          </cell>
          <cell r="D91">
            <v>0</v>
          </cell>
          <cell r="E91">
            <v>27443592519</v>
          </cell>
          <cell r="F91">
            <v>3668411394</v>
          </cell>
          <cell r="G91">
            <v>0</v>
          </cell>
          <cell r="H91">
            <v>0</v>
          </cell>
          <cell r="I91">
            <v>0</v>
          </cell>
        </row>
        <row r="92">
          <cell r="B92" t="str">
            <v>NARIÑO</v>
          </cell>
          <cell r="C92">
            <v>125340273117</v>
          </cell>
          <cell r="D92">
            <v>0</v>
          </cell>
          <cell r="E92">
            <v>29638795425</v>
          </cell>
          <cell r="F92">
            <v>4952758661</v>
          </cell>
          <cell r="G92">
            <v>0</v>
          </cell>
          <cell r="H92">
            <v>0</v>
          </cell>
          <cell r="I92">
            <v>0</v>
          </cell>
        </row>
        <row r="93">
          <cell r="B93" t="str">
            <v>NORTE DE SANTANDER</v>
          </cell>
          <cell r="C93">
            <v>109114556317</v>
          </cell>
          <cell r="D93">
            <v>0</v>
          </cell>
          <cell r="E93">
            <v>33247043053</v>
          </cell>
          <cell r="F93">
            <v>4501575011</v>
          </cell>
          <cell r="G93">
            <v>0</v>
          </cell>
          <cell r="H93">
            <v>0</v>
          </cell>
          <cell r="I93">
            <v>0</v>
          </cell>
        </row>
        <row r="94">
          <cell r="B94" t="str">
            <v>QUINDIO</v>
          </cell>
          <cell r="C94">
            <v>33542760471</v>
          </cell>
          <cell r="D94">
            <v>0</v>
          </cell>
          <cell r="E94">
            <v>8567627990</v>
          </cell>
          <cell r="F94">
            <v>1639799485</v>
          </cell>
          <cell r="G94">
            <v>0</v>
          </cell>
          <cell r="H94">
            <v>0</v>
          </cell>
          <cell r="I94">
            <v>0</v>
          </cell>
        </row>
        <row r="95">
          <cell r="B95" t="str">
            <v>RISARALDA</v>
          </cell>
          <cell r="C95">
            <v>34219349321</v>
          </cell>
          <cell r="D95">
            <v>0</v>
          </cell>
          <cell r="E95">
            <v>11819467798</v>
          </cell>
          <cell r="F95">
            <v>3040629518</v>
          </cell>
          <cell r="G95">
            <v>0</v>
          </cell>
          <cell r="H95">
            <v>0</v>
          </cell>
          <cell r="I95">
            <v>0</v>
          </cell>
        </row>
        <row r="96">
          <cell r="B96" t="str">
            <v>SANTANDER</v>
          </cell>
          <cell r="C96">
            <v>139760709524</v>
          </cell>
          <cell r="D96">
            <v>0</v>
          </cell>
          <cell r="E96">
            <v>34076376496</v>
          </cell>
          <cell r="F96">
            <v>6022027800</v>
          </cell>
          <cell r="G96">
            <v>0</v>
          </cell>
          <cell r="H96">
            <v>0</v>
          </cell>
          <cell r="I96">
            <v>0</v>
          </cell>
        </row>
        <row r="97">
          <cell r="B97" t="str">
            <v>SUCRE</v>
          </cell>
          <cell r="C97">
            <v>72534021352</v>
          </cell>
          <cell r="D97">
            <v>0</v>
          </cell>
          <cell r="E97">
            <v>15853630056</v>
          </cell>
          <cell r="F97">
            <v>2647586707</v>
          </cell>
          <cell r="G97">
            <v>0</v>
          </cell>
          <cell r="H97">
            <v>0</v>
          </cell>
          <cell r="I97">
            <v>0</v>
          </cell>
        </row>
        <row r="98">
          <cell r="B98" t="str">
            <v xml:space="preserve">TOLIMA </v>
          </cell>
          <cell r="C98">
            <v>122935303434</v>
          </cell>
          <cell r="D98">
            <v>0</v>
          </cell>
          <cell r="E98">
            <v>18832321314</v>
          </cell>
          <cell r="F98">
            <v>4286256262</v>
          </cell>
          <cell r="G98">
            <v>0</v>
          </cell>
          <cell r="H98">
            <v>0</v>
          </cell>
          <cell r="I98">
            <v>0</v>
          </cell>
        </row>
        <row r="99">
          <cell r="B99" t="str">
            <v>VALLE DEL CAUCA</v>
          </cell>
          <cell r="C99">
            <v>159139211491</v>
          </cell>
          <cell r="D99">
            <v>0</v>
          </cell>
          <cell r="E99">
            <v>62416178138</v>
          </cell>
          <cell r="F99">
            <v>13608808772</v>
          </cell>
          <cell r="G99">
            <v>0</v>
          </cell>
          <cell r="H99">
            <v>0</v>
          </cell>
          <cell r="I99">
            <v>0</v>
          </cell>
        </row>
        <row r="100">
          <cell r="B100" t="str">
            <v>ARAUCA</v>
          </cell>
          <cell r="C100">
            <v>43160023818</v>
          </cell>
          <cell r="D100">
            <v>0</v>
          </cell>
          <cell r="E100">
            <v>14102218367</v>
          </cell>
          <cell r="F100">
            <v>1241805735</v>
          </cell>
          <cell r="G100">
            <v>0</v>
          </cell>
          <cell r="H100">
            <v>0</v>
          </cell>
          <cell r="I100">
            <v>0</v>
          </cell>
        </row>
        <row r="101">
          <cell r="B101" t="str">
            <v>CASANARE</v>
          </cell>
          <cell r="C101">
            <v>45560909427</v>
          </cell>
          <cell r="D101">
            <v>0</v>
          </cell>
          <cell r="E101">
            <v>14016766687</v>
          </cell>
          <cell r="F101">
            <v>1679645090</v>
          </cell>
          <cell r="G101">
            <v>0</v>
          </cell>
          <cell r="H101">
            <v>0</v>
          </cell>
          <cell r="I101">
            <v>0</v>
          </cell>
        </row>
        <row r="102">
          <cell r="B102" t="str">
            <v>PUTUMAYO</v>
          </cell>
          <cell r="C102">
            <v>45438783867</v>
          </cell>
          <cell r="D102">
            <v>0</v>
          </cell>
          <cell r="E102">
            <v>16792561462</v>
          </cell>
          <cell r="F102">
            <v>1807415787</v>
          </cell>
          <cell r="G102">
            <v>0</v>
          </cell>
          <cell r="H102">
            <v>0</v>
          </cell>
          <cell r="I102">
            <v>0</v>
          </cell>
        </row>
        <row r="103">
          <cell r="B103" t="str">
            <v>SAN ANDRES</v>
          </cell>
          <cell r="C103">
            <v>10150949503</v>
          </cell>
          <cell r="D103">
            <v>1933414086</v>
          </cell>
          <cell r="E103">
            <v>4143249896</v>
          </cell>
          <cell r="F103">
            <v>430615124</v>
          </cell>
          <cell r="G103">
            <v>63017033</v>
          </cell>
          <cell r="H103">
            <v>0</v>
          </cell>
          <cell r="I103">
            <v>0</v>
          </cell>
        </row>
        <row r="104">
          <cell r="B104" t="str">
            <v>AMAZONAS</v>
          </cell>
          <cell r="C104">
            <v>13413941973</v>
          </cell>
          <cell r="D104">
            <v>1245329865</v>
          </cell>
          <cell r="E104">
            <v>8909489863</v>
          </cell>
          <cell r="F104">
            <v>3284003878</v>
          </cell>
          <cell r="G104">
            <v>0</v>
          </cell>
          <cell r="H104">
            <v>1228715967</v>
          </cell>
          <cell r="I104">
            <v>0</v>
          </cell>
        </row>
        <row r="105">
          <cell r="B105" t="str">
            <v>GUAINIA</v>
          </cell>
          <cell r="C105">
            <v>11220135856</v>
          </cell>
          <cell r="D105">
            <v>682637961</v>
          </cell>
          <cell r="E105">
            <v>4595061410</v>
          </cell>
          <cell r="F105">
            <v>2237367136</v>
          </cell>
          <cell r="G105">
            <v>0</v>
          </cell>
          <cell r="H105">
            <v>670902254</v>
          </cell>
          <cell r="I105">
            <v>0</v>
          </cell>
        </row>
        <row r="106">
          <cell r="B106" t="str">
            <v>GUAVIARE</v>
          </cell>
          <cell r="C106">
            <v>14417175626</v>
          </cell>
          <cell r="D106">
            <v>0</v>
          </cell>
          <cell r="E106">
            <v>16064886134</v>
          </cell>
          <cell r="F106">
            <v>1401677206</v>
          </cell>
          <cell r="G106">
            <v>0</v>
          </cell>
          <cell r="H106">
            <v>0</v>
          </cell>
          <cell r="I106">
            <v>0</v>
          </cell>
        </row>
        <row r="107">
          <cell r="B107" t="str">
            <v>VAUPES</v>
          </cell>
          <cell r="C107">
            <v>10953467457</v>
          </cell>
          <cell r="D107">
            <v>309123758</v>
          </cell>
          <cell r="E107">
            <v>1874889910</v>
          </cell>
          <cell r="F107">
            <v>1451924070</v>
          </cell>
          <cell r="G107">
            <v>0</v>
          </cell>
          <cell r="H107">
            <v>154823597</v>
          </cell>
          <cell r="I107">
            <v>0</v>
          </cell>
        </row>
        <row r="108">
          <cell r="B108" t="str">
            <v>VICHADA</v>
          </cell>
          <cell r="C108">
            <v>13990831917</v>
          </cell>
          <cell r="D108">
            <v>0</v>
          </cell>
          <cell r="E108">
            <v>13242921795</v>
          </cell>
          <cell r="F108">
            <v>1926391225</v>
          </cell>
          <cell r="G108">
            <v>0</v>
          </cell>
          <cell r="H108">
            <v>0</v>
          </cell>
          <cell r="I108">
            <v>0</v>
          </cell>
        </row>
      </sheetData>
      <sheetData sheetId="23"/>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INGRESOS99"/>
      <sheetName val="proyecINGRESOS99 (det)"/>
      <sheetName val="proyecINGRESOS99 _det_"/>
    </sheetNames>
    <sheetDataSet>
      <sheetData sheetId="0" refreshError="1">
        <row r="1">
          <cell r="A1" t="str">
            <v>DETALLE DE LA COMPOSICION DEL PRESUPUESTO DE RENTAS DE LA NACION</v>
          </cell>
          <cell r="L1" t="str">
            <v>DETALLE DE LA COMPOSICION DEL PRESUPUESTO DE RENTAS DE LA NACION</v>
          </cell>
        </row>
        <row r="3">
          <cell r="A3" t="str">
            <v>Millones de pesos</v>
          </cell>
          <cell r="L3" t="str">
            <v>Millones de pesos</v>
          </cell>
        </row>
        <row r="4">
          <cell r="P4" t="str">
            <v>1998</v>
          </cell>
          <cell r="R4" t="str">
            <v>1999</v>
          </cell>
        </row>
        <row r="5">
          <cell r="E5" t="str">
            <v>1998</v>
          </cell>
          <cell r="F5" t="str">
            <v>1999</v>
          </cell>
          <cell r="H5">
            <v>1998</v>
          </cell>
          <cell r="I5">
            <v>1999</v>
          </cell>
          <cell r="P5" t="str">
            <v>APROPIACION</v>
          </cell>
          <cell r="Q5" t="str">
            <v>REESTIMACION</v>
          </cell>
          <cell r="R5" t="str">
            <v>PROYECTO</v>
          </cell>
          <cell r="S5" t="str">
            <v>Variación</v>
          </cell>
          <cell r="T5" t="str">
            <v>Variación</v>
          </cell>
        </row>
        <row r="6">
          <cell r="E6" t="str">
            <v>APROPIACION</v>
          </cell>
          <cell r="F6" t="str">
            <v>PROYECTO</v>
          </cell>
          <cell r="G6" t="str">
            <v>Variación</v>
          </cell>
          <cell r="H6" t="str">
            <v>PARTICIPACION %</v>
          </cell>
          <cell r="O6" t="str">
            <v/>
          </cell>
          <cell r="P6" t="str">
            <v>VIGENTE</v>
          </cell>
          <cell r="Q6" t="str">
            <v xml:space="preserve">BASE </v>
          </cell>
          <cell r="R6" t="str">
            <v>PRESUPUESTO</v>
          </cell>
          <cell r="S6" t="str">
            <v>%</v>
          </cell>
          <cell r="T6" t="str">
            <v>%</v>
          </cell>
        </row>
        <row r="7">
          <cell r="D7" t="str">
            <v/>
          </cell>
          <cell r="E7" t="str">
            <v>VIGENTE</v>
          </cell>
          <cell r="F7" t="str">
            <v>PRESUPUESTO</v>
          </cell>
          <cell r="G7" t="str">
            <v>%</v>
          </cell>
          <cell r="P7" t="str">
            <v>(A)</v>
          </cell>
          <cell r="Q7" t="str">
            <v>(B)</v>
          </cell>
          <cell r="R7" t="str">
            <v>(C)</v>
          </cell>
          <cell r="S7" t="str">
            <v>(D)=(C/A)</v>
          </cell>
          <cell r="T7" t="str">
            <v>(E)=(C/B)</v>
          </cell>
        </row>
        <row r="8">
          <cell r="A8" t="str">
            <v>CONCEPTOS</v>
          </cell>
          <cell r="L8" t="str">
            <v>CONCEPTOS</v>
          </cell>
        </row>
        <row r="10">
          <cell r="A10" t="str">
            <v>I.</v>
          </cell>
          <cell r="B10" t="str">
            <v>INGRESOS DEL PRESUPUESTO NACIONAL</v>
          </cell>
          <cell r="E10">
            <v>34366401.332317002</v>
          </cell>
          <cell r="F10">
            <v>39798591.996973999</v>
          </cell>
          <cell r="G10">
            <v>15.806690412908452</v>
          </cell>
          <cell r="H10">
            <v>100</v>
          </cell>
          <cell r="I10">
            <v>100</v>
          </cell>
          <cell r="L10" t="str">
            <v>I.</v>
          </cell>
          <cell r="M10" t="str">
            <v>INGRESOS DEL PRESUPUESTO NACIONAL</v>
          </cell>
          <cell r="P10">
            <v>34366401.332317002</v>
          </cell>
          <cell r="Q10">
            <v>34716620.206469998</v>
          </cell>
          <cell r="R10">
            <v>39798591.996973999</v>
          </cell>
          <cell r="S10">
            <v>15.806690412908452</v>
          </cell>
          <cell r="T10">
            <v>14.638440494149529</v>
          </cell>
        </row>
        <row r="12">
          <cell r="A12" t="str">
            <v>1.</v>
          </cell>
          <cell r="B12" t="str">
            <v>INGRESOS CORRIENTES</v>
          </cell>
          <cell r="E12">
            <v>14973958.125847001</v>
          </cell>
          <cell r="F12">
            <v>17813984</v>
          </cell>
          <cell r="G12">
            <v>18.966433926716707</v>
          </cell>
          <cell r="H12">
            <v>43.571504566484812</v>
          </cell>
          <cell r="I12">
            <v>44.760337253525066</v>
          </cell>
          <cell r="L12" t="str">
            <v>1.</v>
          </cell>
          <cell r="M12" t="str">
            <v>INGRESOS CORRIENTES</v>
          </cell>
          <cell r="P12">
            <v>14973958.125847001</v>
          </cell>
          <cell r="Q12">
            <v>15324177</v>
          </cell>
          <cell r="R12">
            <v>17813984</v>
          </cell>
          <cell r="S12">
            <v>18.966433926716707</v>
          </cell>
          <cell r="T12">
            <v>16.24757401327328</v>
          </cell>
        </row>
        <row r="14">
          <cell r="B14" t="str">
            <v>1.1.  INGRESOS TRIBUTARIOS</v>
          </cell>
          <cell r="E14">
            <v>14609453</v>
          </cell>
          <cell r="F14">
            <v>17369627.000000462</v>
          </cell>
          <cell r="G14">
            <v>18.893068754870313</v>
          </cell>
          <cell r="H14">
            <v>42.510860705865539</v>
          </cell>
          <cell r="I14">
            <v>43.643822880269546</v>
          </cell>
          <cell r="M14" t="str">
            <v>1.1.  INGRESOS TRIBUTARIOS</v>
          </cell>
          <cell r="P14">
            <v>14609453</v>
          </cell>
          <cell r="Q14">
            <v>14749077</v>
          </cell>
          <cell r="R14">
            <v>17369627.000000462</v>
          </cell>
          <cell r="S14">
            <v>18.893068754870313</v>
          </cell>
          <cell r="T14">
            <v>17.767552505153116</v>
          </cell>
        </row>
        <row r="15">
          <cell r="H15">
            <v>0</v>
          </cell>
          <cell r="I15">
            <v>0</v>
          </cell>
        </row>
        <row r="16">
          <cell r="B16" t="str">
            <v xml:space="preserve">        1.1.1. IMPUESTOS DIRECTOS</v>
          </cell>
          <cell r="E16">
            <v>5845082</v>
          </cell>
          <cell r="F16">
            <v>6285366</v>
          </cell>
          <cell r="G16">
            <v>7.5325547186506636</v>
          </cell>
          <cell r="H16">
            <v>17.008129374615326</v>
          </cell>
          <cell r="I16">
            <v>15.792935590479921</v>
          </cell>
          <cell r="M16" t="str">
            <v xml:space="preserve">        1.1.1. IMPUESTOS DIRECTOS</v>
          </cell>
          <cell r="P16">
            <v>5845082</v>
          </cell>
          <cell r="Q16">
            <v>5393900</v>
          </cell>
          <cell r="R16">
            <v>6285366</v>
          </cell>
          <cell r="S16">
            <v>7.5325547186506636</v>
          </cell>
          <cell r="T16">
            <v>16.527299356680693</v>
          </cell>
        </row>
        <row r="17">
          <cell r="B17" t="str">
            <v>NUMERAL 0001</v>
          </cell>
          <cell r="D17" t="str">
            <v>IMPUESTO SOBRE LA RENTA Y COMPLEMENTARIOS</v>
          </cell>
          <cell r="E17">
            <v>5845082</v>
          </cell>
          <cell r="F17">
            <v>6285366</v>
          </cell>
          <cell r="G17">
            <v>7.5325547186506636</v>
          </cell>
          <cell r="H17">
            <v>17.008129374615326</v>
          </cell>
          <cell r="I17">
            <v>15.792935590479921</v>
          </cell>
          <cell r="M17" t="str">
            <v>NUMERAL 0001</v>
          </cell>
          <cell r="O17" t="str">
            <v>IMPUESTO SOBRE LA RENTA Y COMPLEMENTARIOS</v>
          </cell>
          <cell r="P17">
            <v>5845082</v>
          </cell>
          <cell r="Q17">
            <v>5393900</v>
          </cell>
          <cell r="R17">
            <v>6285366</v>
          </cell>
          <cell r="S17">
            <v>7.5325547186506636</v>
          </cell>
          <cell r="T17">
            <v>16.527299356680693</v>
          </cell>
        </row>
        <row r="18">
          <cell r="H18">
            <v>0</v>
          </cell>
          <cell r="I18">
            <v>0</v>
          </cell>
        </row>
        <row r="19">
          <cell r="B19" t="str">
            <v xml:space="preserve">        1.1.2. IMPUESTOS INDIRECTOS</v>
          </cell>
          <cell r="E19">
            <v>8764371</v>
          </cell>
          <cell r="F19">
            <v>11084261.000000462</v>
          </cell>
          <cell r="G19">
            <v>26.469554974343978</v>
          </cell>
          <cell r="H19">
            <v>25.502731331250217</v>
          </cell>
          <cell r="I19">
            <v>27.850887289789622</v>
          </cell>
          <cell r="M19" t="str">
            <v xml:space="preserve">        1.1.2. IMPUESTOS INDIRECTOS</v>
          </cell>
          <cell r="P19">
            <v>8764371</v>
          </cell>
          <cell r="Q19">
            <v>9355177</v>
          </cell>
          <cell r="R19">
            <v>11084261.000000462</v>
          </cell>
          <cell r="S19">
            <v>26.469554974343978</v>
          </cell>
          <cell r="T19">
            <v>18.482643353519258</v>
          </cell>
        </row>
        <row r="20">
          <cell r="B20" t="str">
            <v xml:space="preserve">NUMERAL </v>
          </cell>
          <cell r="C20" t="str">
            <v>0001</v>
          </cell>
          <cell r="D20" t="str">
            <v>IMPUESTOS SOBRE ADUANAS Y RECARGOS</v>
          </cell>
          <cell r="E20">
            <v>1216470</v>
          </cell>
          <cell r="F20">
            <v>1646430.000000464</v>
          </cell>
          <cell r="G20">
            <v>35.344891366039775</v>
          </cell>
          <cell r="H20">
            <v>3.5397072513847201</v>
          </cell>
          <cell r="I20">
            <v>4.1369051451007284</v>
          </cell>
          <cell r="M20" t="str">
            <v xml:space="preserve">NUMERAL </v>
          </cell>
          <cell r="N20" t="str">
            <v>0001</v>
          </cell>
          <cell r="O20" t="str">
            <v>IMPUESTOS SOBRE ADUANAS Y RECARGOS</v>
          </cell>
          <cell r="P20">
            <v>1216470</v>
          </cell>
          <cell r="Q20">
            <v>1444000</v>
          </cell>
          <cell r="R20">
            <v>1646430.000000464</v>
          </cell>
          <cell r="S20">
            <v>35.344891366039775</v>
          </cell>
          <cell r="T20">
            <v>14.018698060973955</v>
          </cell>
        </row>
        <row r="21">
          <cell r="B21" t="str">
            <v xml:space="preserve">NUMERAL </v>
          </cell>
          <cell r="C21" t="str">
            <v>0002</v>
          </cell>
          <cell r="D21" t="str">
            <v>IMPUESTO A LAS VENTAS</v>
          </cell>
          <cell r="E21">
            <v>6695019</v>
          </cell>
          <cell r="F21">
            <v>8117919</v>
          </cell>
          <cell r="G21">
            <v>21.253113695420424</v>
          </cell>
          <cell r="H21">
            <v>19.481292019086766</v>
          </cell>
          <cell r="I21">
            <v>20.397503008692439</v>
          </cell>
          <cell r="M21" t="str">
            <v xml:space="preserve">NUMERAL </v>
          </cell>
          <cell r="N21" t="str">
            <v>0002</v>
          </cell>
          <cell r="O21" t="str">
            <v>IMPUESTO A LAS VENTAS</v>
          </cell>
          <cell r="P21">
            <v>6695019</v>
          </cell>
          <cell r="Q21">
            <v>6887200</v>
          </cell>
          <cell r="R21">
            <v>8117919</v>
          </cell>
          <cell r="S21">
            <v>21.253113695420424</v>
          </cell>
          <cell r="T21">
            <v>17.86965675455918</v>
          </cell>
        </row>
        <row r="22">
          <cell r="D22" t="str">
            <v>INTERNAS</v>
          </cell>
          <cell r="E22">
            <v>4687973</v>
          </cell>
          <cell r="F22">
            <v>5452433</v>
          </cell>
          <cell r="G22">
            <v>16.306834531683535</v>
          </cell>
          <cell r="H22">
            <v>13.641151875833996</v>
          </cell>
          <cell r="I22">
            <v>13.700065068670177</v>
          </cell>
          <cell r="O22" t="str">
            <v>INTERNAS</v>
          </cell>
          <cell r="P22">
            <v>4687973</v>
          </cell>
          <cell r="Q22">
            <v>4549400</v>
          </cell>
          <cell r="R22">
            <v>5452433</v>
          </cell>
          <cell r="S22">
            <v>16.306834531683535</v>
          </cell>
          <cell r="T22">
            <v>19.849496636919149</v>
          </cell>
        </row>
        <row r="23">
          <cell r="D23" t="str">
            <v>EXTERNAS</v>
          </cell>
          <cell r="E23">
            <v>2007046</v>
          </cell>
          <cell r="F23">
            <v>2665486</v>
          </cell>
          <cell r="G23">
            <v>32.806422971870106</v>
          </cell>
          <cell r="H23">
            <v>5.8401401432527695</v>
          </cell>
          <cell r="I23">
            <v>6.6974379400222617</v>
          </cell>
          <cell r="O23" t="str">
            <v>EXTERNAS</v>
          </cell>
          <cell r="P23">
            <v>2007046</v>
          </cell>
          <cell r="Q23">
            <v>2337800</v>
          </cell>
          <cell r="R23">
            <v>2665486</v>
          </cell>
          <cell r="S23">
            <v>32.806422971870106</v>
          </cell>
          <cell r="T23">
            <v>14.016853451963375</v>
          </cell>
        </row>
        <row r="24">
          <cell r="B24" t="str">
            <v xml:space="preserve">NUMERAL </v>
          </cell>
          <cell r="C24" t="str">
            <v>0003</v>
          </cell>
          <cell r="D24" t="str">
            <v>IMPUESTO A LA GASOLINA Y ACPM</v>
          </cell>
          <cell r="E24">
            <v>690540</v>
          </cell>
          <cell r="F24">
            <v>917324</v>
          </cell>
          <cell r="G24">
            <v>32.841544298664815</v>
          </cell>
          <cell r="H24">
            <v>2.0093462603855454</v>
          </cell>
          <cell r="I24">
            <v>2.3049157117662524</v>
          </cell>
          <cell r="M24" t="str">
            <v xml:space="preserve">NUMERAL </v>
          </cell>
          <cell r="N24" t="str">
            <v>0003</v>
          </cell>
          <cell r="O24" t="str">
            <v>IMPUESTO A LA GASOLINA Y ACPM</v>
          </cell>
          <cell r="P24">
            <v>690540</v>
          </cell>
          <cell r="Q24">
            <v>691000</v>
          </cell>
          <cell r="R24">
            <v>917324</v>
          </cell>
          <cell r="S24">
            <v>32.841544298664815</v>
          </cell>
          <cell r="T24">
            <v>32.753111432706227</v>
          </cell>
        </row>
        <row r="25">
          <cell r="B25" t="str">
            <v xml:space="preserve">NUMERAL </v>
          </cell>
          <cell r="C25" t="str">
            <v>0005</v>
          </cell>
          <cell r="D25" t="str">
            <v>IMPUESTO DE TIMBRE NACIONAL</v>
          </cell>
          <cell r="E25">
            <v>138600</v>
          </cell>
          <cell r="F25">
            <v>371608</v>
          </cell>
          <cell r="G25">
            <v>168.11544011544009</v>
          </cell>
          <cell r="H25">
            <v>0.40330088291690069</v>
          </cell>
          <cell r="I25">
            <v>0.93372147443872999</v>
          </cell>
          <cell r="M25" t="str">
            <v xml:space="preserve">NUMERAL </v>
          </cell>
          <cell r="N25" t="str">
            <v>0005</v>
          </cell>
          <cell r="O25" t="str">
            <v>IMPUESTO DE TIMBRE NACIONAL</v>
          </cell>
          <cell r="P25">
            <v>138600</v>
          </cell>
          <cell r="Q25">
            <v>310100</v>
          </cell>
          <cell r="R25">
            <v>371608</v>
          </cell>
          <cell r="S25">
            <v>168.11544011544009</v>
          </cell>
          <cell r="T25">
            <v>19.834891970332148</v>
          </cell>
        </row>
        <row r="26">
          <cell r="D26" t="str">
            <v>OTROS IMPUESTOS INDIRECTOS</v>
          </cell>
          <cell r="E26">
            <v>23742</v>
          </cell>
          <cell r="F26">
            <v>30980</v>
          </cell>
          <cell r="G26">
            <v>30.486058461797661</v>
          </cell>
          <cell r="H26">
            <v>6.9084917476284674E-2</v>
          </cell>
          <cell r="I26">
            <v>7.7841949791478793E-2</v>
          </cell>
          <cell r="O26" t="str">
            <v>OTROS IMPUESTOS INDIRECTOS</v>
          </cell>
          <cell r="P26">
            <v>23742</v>
          </cell>
          <cell r="Q26">
            <v>22877</v>
          </cell>
          <cell r="R26">
            <v>30980</v>
          </cell>
          <cell r="S26">
            <v>30.486058461797661</v>
          </cell>
          <cell r="T26">
            <v>35.419854001835915</v>
          </cell>
        </row>
        <row r="27">
          <cell r="B27" t="str">
            <v xml:space="preserve">NUMERAL </v>
          </cell>
          <cell r="C27" t="str">
            <v>0004</v>
          </cell>
          <cell r="D27" t="str">
            <v>IMPUESTO 5% PASAJES INTERNACIONALES</v>
          </cell>
          <cell r="E27">
            <v>8559.2999999999993</v>
          </cell>
          <cell r="H27">
            <v>2.4906011884203664E-2</v>
          </cell>
          <cell r="I27">
            <v>0</v>
          </cell>
          <cell r="M27" t="str">
            <v xml:space="preserve">NUMERAL </v>
          </cell>
          <cell r="N27" t="str">
            <v>0004</v>
          </cell>
          <cell r="O27" t="str">
            <v>IMPUESTO 5% PASAJES INTERNACIONALES</v>
          </cell>
          <cell r="P27">
            <v>8559.2999999999993</v>
          </cell>
        </row>
        <row r="28">
          <cell r="B28" t="str">
            <v xml:space="preserve">NUMERAL </v>
          </cell>
          <cell r="C28" t="str">
            <v>0006</v>
          </cell>
          <cell r="D28" t="str">
            <v>IMPUESTO DE TIMBRE NACIONAL SOBRE SALIDAS AL EXT.</v>
          </cell>
          <cell r="E28">
            <v>13405.7</v>
          </cell>
          <cell r="F28">
            <v>27666</v>
          </cell>
          <cell r="G28">
            <v>106.37490022900704</v>
          </cell>
          <cell r="H28">
            <v>3.9008157619906898E-2</v>
          </cell>
          <cell r="I28">
            <v>6.9515022044256053E-2</v>
          </cell>
          <cell r="M28" t="str">
            <v xml:space="preserve">NUMERAL </v>
          </cell>
          <cell r="N28" t="str">
            <v>0006</v>
          </cell>
          <cell r="O28" t="str">
            <v>IMPUESTO DE TIMBRE NACIONAL SOBRE SALIDAS AL EXT.</v>
          </cell>
          <cell r="P28">
            <v>13405.7</v>
          </cell>
          <cell r="Q28">
            <v>21100</v>
          </cell>
          <cell r="R28">
            <v>27666</v>
          </cell>
          <cell r="S28">
            <v>106.37490022900704</v>
          </cell>
          <cell r="T28">
            <v>31.118483412322284</v>
          </cell>
        </row>
        <row r="29">
          <cell r="B29" t="str">
            <v xml:space="preserve">NUMERAL </v>
          </cell>
          <cell r="C29" t="str">
            <v>0007</v>
          </cell>
          <cell r="D29" t="str">
            <v>IMPUESTO AL ORO Y AL PLATINO</v>
          </cell>
          <cell r="E29">
            <v>1777</v>
          </cell>
          <cell r="F29">
            <v>3314</v>
          </cell>
          <cell r="G29">
            <v>86.494091164884651</v>
          </cell>
          <cell r="H29">
            <v>5.1707479721741162E-3</v>
          </cell>
          <cell r="I29">
            <v>8.3269277472227485E-3</v>
          </cell>
          <cell r="M29" t="str">
            <v xml:space="preserve">NUMERAL </v>
          </cell>
          <cell r="N29" t="str">
            <v>0007</v>
          </cell>
          <cell r="O29" t="str">
            <v>IMPUESTO AL ORO Y AL PLATINO</v>
          </cell>
          <cell r="P29">
            <v>1777</v>
          </cell>
          <cell r="Q29">
            <v>1777</v>
          </cell>
          <cell r="R29">
            <v>3314</v>
          </cell>
          <cell r="S29">
            <v>86.494091164884651</v>
          </cell>
          <cell r="T29">
            <v>86.494091164884651</v>
          </cell>
        </row>
        <row r="30">
          <cell r="B30" t="str">
            <v xml:space="preserve">NUMERAL </v>
          </cell>
          <cell r="C30" t="str">
            <v>0008</v>
          </cell>
          <cell r="D30" t="str">
            <v>OTROS</v>
          </cell>
          <cell r="E30">
            <v>0</v>
          </cell>
          <cell r="G30" t="e">
            <v>#DIV/0!</v>
          </cell>
          <cell r="H30">
            <v>0</v>
          </cell>
          <cell r="I30">
            <v>0</v>
          </cell>
          <cell r="M30" t="str">
            <v xml:space="preserve">NUMERAL </v>
          </cell>
          <cell r="N30" t="str">
            <v>0008</v>
          </cell>
          <cell r="O30" t="str">
            <v>OTROS</v>
          </cell>
          <cell r="P30">
            <v>0</v>
          </cell>
          <cell r="S30" t="e">
            <v>#DIV/0!</v>
          </cell>
          <cell r="T30" t="e">
            <v>#DIV/0!</v>
          </cell>
        </row>
        <row r="31">
          <cell r="H31">
            <v>0</v>
          </cell>
          <cell r="I31">
            <v>0</v>
          </cell>
        </row>
        <row r="32">
          <cell r="B32" t="str">
            <v>1.2</v>
          </cell>
          <cell r="C32" t="str">
            <v>INGRESOS NO TRIBUTARIOS</v>
          </cell>
          <cell r="E32">
            <v>364505.12584699999</v>
          </cell>
          <cell r="F32">
            <v>444356.99999953806</v>
          </cell>
          <cell r="G32">
            <v>21.906927637021955</v>
          </cell>
          <cell r="H32">
            <v>1.0606438606192721</v>
          </cell>
          <cell r="I32">
            <v>1.1165143732555256</v>
          </cell>
          <cell r="M32" t="str">
            <v>1.2</v>
          </cell>
          <cell r="N32" t="str">
            <v>INGRESOS NO TRIBUTARIOS</v>
          </cell>
          <cell r="P32">
            <v>364505.12584699999</v>
          </cell>
          <cell r="Q32">
            <v>575100</v>
          </cell>
          <cell r="R32">
            <v>444356.99999953806</v>
          </cell>
          <cell r="S32">
            <v>21.906927637021955</v>
          </cell>
          <cell r="T32">
            <v>-22.733959311504425</v>
          </cell>
        </row>
        <row r="33">
          <cell r="C33" t="str">
            <v>1.2.1.</v>
          </cell>
          <cell r="D33" t="str">
            <v>TASAS Y MULTAS</v>
          </cell>
          <cell r="E33">
            <v>364505.12584699999</v>
          </cell>
          <cell r="F33">
            <v>444356.99999953806</v>
          </cell>
          <cell r="G33">
            <v>21.906927637021955</v>
          </cell>
          <cell r="H33">
            <v>1.0606438606192721</v>
          </cell>
          <cell r="I33">
            <v>1.1165143732555256</v>
          </cell>
          <cell r="N33" t="str">
            <v>1.2.1.</v>
          </cell>
          <cell r="O33" t="str">
            <v>TASAS Y MULTAS</v>
          </cell>
          <cell r="P33">
            <v>364505.12584699999</v>
          </cell>
          <cell r="Q33">
            <v>575100</v>
          </cell>
          <cell r="R33">
            <v>444356.99999953806</v>
          </cell>
          <cell r="S33">
            <v>21.906927637021955</v>
          </cell>
          <cell r="T33">
            <v>-22.733959311504425</v>
          </cell>
        </row>
        <row r="34">
          <cell r="B34" t="str">
            <v xml:space="preserve">NUMERAL </v>
          </cell>
          <cell r="C34" t="str">
            <v>0002</v>
          </cell>
          <cell r="D34" t="str">
            <v>OTRAS TASAS, MULTAS Y CONTRIBUCIONES NO ESPECIFICADAS</v>
          </cell>
          <cell r="E34">
            <v>11595.076499999999</v>
          </cell>
          <cell r="F34">
            <v>60326</v>
          </cell>
          <cell r="G34">
            <v>420.27254843898618</v>
          </cell>
          <cell r="H34">
            <v>3.3739571355981289E-2</v>
          </cell>
          <cell r="I34">
            <v>0.15157822669853938</v>
          </cell>
          <cell r="M34" t="str">
            <v xml:space="preserve">NUMERAL </v>
          </cell>
          <cell r="N34" t="str">
            <v>0002</v>
          </cell>
          <cell r="O34" t="str">
            <v>OTRAS TASAS, MULTAS Y CONTRIBUCIONES NO ESPECIFICADAS</v>
          </cell>
          <cell r="P34">
            <v>11595.076499999999</v>
          </cell>
          <cell r="Q34">
            <v>11500</v>
          </cell>
          <cell r="R34">
            <v>60326</v>
          </cell>
          <cell r="S34">
            <v>420.27254843898618</v>
          </cell>
          <cell r="T34">
            <v>424.57391304347823</v>
          </cell>
        </row>
        <row r="35">
          <cell r="B35" t="str">
            <v xml:space="preserve">NUMERAL </v>
          </cell>
          <cell r="C35" t="str">
            <v>0003</v>
          </cell>
          <cell r="D35" t="str">
            <v>CONTRIBUCION ESPECIAL POR EXPLOTACION O EXPORTACION</v>
          </cell>
          <cell r="H35">
            <v>0</v>
          </cell>
          <cell r="I35">
            <v>0</v>
          </cell>
          <cell r="M35" t="str">
            <v xml:space="preserve">NUMERAL </v>
          </cell>
          <cell r="N35" t="str">
            <v>0003</v>
          </cell>
          <cell r="O35" t="str">
            <v>CONTRIBUCION ESPECIAL POR EXPLOTACION O EXPORTACION</v>
          </cell>
        </row>
        <row r="36">
          <cell r="D36" t="str">
            <v>DE PETROLEO CRUDO, GAS LIBRE, CARBON Y FERRONIQUEL</v>
          </cell>
          <cell r="E36">
            <v>164620</v>
          </cell>
          <cell r="F36">
            <v>34844.999999538064</v>
          </cell>
          <cell r="G36">
            <v>-78.833070101118906</v>
          </cell>
          <cell r="H36">
            <v>0.47901436757417171</v>
          </cell>
          <cell r="I36">
            <v>8.7553348626472599E-2</v>
          </cell>
          <cell r="O36" t="str">
            <v>DE PETROLEO CRUDO, GAS LIBRE, CARBON Y FERRONIQUEL</v>
          </cell>
          <cell r="P36">
            <v>164620</v>
          </cell>
          <cell r="Q36">
            <v>75600</v>
          </cell>
          <cell r="R36">
            <v>34844.999999538064</v>
          </cell>
          <cell r="S36">
            <v>-78.833070101118906</v>
          </cell>
          <cell r="T36">
            <v>-53.908730159341189</v>
          </cell>
        </row>
        <row r="37">
          <cell r="B37" t="str">
            <v xml:space="preserve">NUMERAL </v>
          </cell>
          <cell r="C37" t="str">
            <v>0004</v>
          </cell>
          <cell r="D37" t="str">
            <v>CONTRIBUCION ESPECIAL DEL 5% SOBRE LOS CONTRATOS DE</v>
          </cell>
          <cell r="E37">
            <v>0</v>
          </cell>
          <cell r="H37">
            <v>0</v>
          </cell>
          <cell r="I37">
            <v>0</v>
          </cell>
          <cell r="M37" t="str">
            <v xml:space="preserve">NUMERAL </v>
          </cell>
          <cell r="N37" t="str">
            <v>0004</v>
          </cell>
          <cell r="O37" t="str">
            <v>CONTRIBUCION ESPECIAL DEL 5% SOBRE LOS CONTRATOS DE</v>
          </cell>
          <cell r="P37">
            <v>0</v>
          </cell>
        </row>
        <row r="38">
          <cell r="D38" t="str">
            <v>OBRAS PUBLICAS DEL ORDEN NACIONAL, LEY 104 DE 1993</v>
          </cell>
          <cell r="E38">
            <v>28326.2441</v>
          </cell>
          <cell r="H38">
            <v>8.2424237050863283E-2</v>
          </cell>
          <cell r="I38">
            <v>0</v>
          </cell>
          <cell r="O38" t="str">
            <v>OBRAS PUBLICAS DEL ORDEN NACIONAL, LEY 104 DE 1993</v>
          </cell>
          <cell r="P38">
            <v>28326.2441</v>
          </cell>
          <cell r="Q38">
            <v>28300</v>
          </cell>
        </row>
        <row r="39">
          <cell r="B39" t="str">
            <v xml:space="preserve">NUMERAL </v>
          </cell>
          <cell r="C39" t="str">
            <v>0005</v>
          </cell>
          <cell r="D39" t="str">
            <v>FONDO DE RECURSOS DEL SUPERAVIT DE LA NACION</v>
          </cell>
          <cell r="E39">
            <v>138439.12584699999</v>
          </cell>
          <cell r="F39">
            <v>151520</v>
          </cell>
          <cell r="G39">
            <v>9.4488274705351039</v>
          </cell>
          <cell r="H39">
            <v>0.40283276828527437</v>
          </cell>
          <cell r="I39">
            <v>0.38071698619770394</v>
          </cell>
          <cell r="M39" t="str">
            <v xml:space="preserve">NUMERAL </v>
          </cell>
          <cell r="N39" t="str">
            <v>0005</v>
          </cell>
          <cell r="O39" t="str">
            <v>FONDO DE RECURSOS DEL SUPERAVIT DE LA NACION</v>
          </cell>
          <cell r="P39">
            <v>138439.12584699999</v>
          </cell>
          <cell r="Q39">
            <v>138400</v>
          </cell>
          <cell r="R39">
            <v>151520</v>
          </cell>
          <cell r="S39">
            <v>9.4488274705351039</v>
          </cell>
          <cell r="T39">
            <v>9.479768786127174</v>
          </cell>
        </row>
        <row r="40">
          <cell r="B40" t="str">
            <v xml:space="preserve">NUMERAL </v>
          </cell>
          <cell r="C40" t="str">
            <v>0006</v>
          </cell>
          <cell r="D40" t="str">
            <v>CONCESION SOCIEDADES PORTUARIAS</v>
          </cell>
          <cell r="E40">
            <v>21524.679400000001</v>
          </cell>
          <cell r="F40">
            <v>17764</v>
          </cell>
          <cell r="G40">
            <v>-17.47147695031407</v>
          </cell>
          <cell r="H40">
            <v>6.2632916352981433E-2</v>
          </cell>
          <cell r="I40">
            <v>4.4634744870749817E-2</v>
          </cell>
          <cell r="M40" t="str">
            <v xml:space="preserve">NUMERAL </v>
          </cell>
          <cell r="N40" t="str">
            <v>0006</v>
          </cell>
          <cell r="O40" t="str">
            <v>CONCESION SOCIEDADES PORTUARIAS</v>
          </cell>
          <cell r="P40">
            <v>21524.679400000001</v>
          </cell>
          <cell r="Q40">
            <v>21300</v>
          </cell>
          <cell r="R40">
            <v>17764</v>
          </cell>
          <cell r="S40">
            <v>-17.47147695031407</v>
          </cell>
          <cell r="T40">
            <v>-16.600938967136148</v>
          </cell>
        </row>
        <row r="41">
          <cell r="B41" t="str">
            <v xml:space="preserve">NUMERAL </v>
          </cell>
          <cell r="C41" t="str">
            <v>0007</v>
          </cell>
          <cell r="D41" t="str">
            <v xml:space="preserve"> CONCESION LARGA DISTANCIA</v>
          </cell>
          <cell r="F41">
            <v>179902</v>
          </cell>
          <cell r="H41">
            <v>0</v>
          </cell>
          <cell r="I41">
            <v>0.45203106686206002</v>
          </cell>
          <cell r="M41" t="str">
            <v xml:space="preserve">NUMERAL </v>
          </cell>
          <cell r="N41" t="str">
            <v>0007</v>
          </cell>
          <cell r="O41" t="str">
            <v xml:space="preserve"> CONCESION LARGA DISTANCIA</v>
          </cell>
          <cell r="Q41">
            <v>300000</v>
          </cell>
          <cell r="R41">
            <v>179902</v>
          </cell>
          <cell r="T41">
            <v>-40.032666666666671</v>
          </cell>
        </row>
        <row r="42">
          <cell r="H42">
            <v>0</v>
          </cell>
          <cell r="I42">
            <v>0</v>
          </cell>
        </row>
        <row r="43">
          <cell r="A43" t="str">
            <v>2.</v>
          </cell>
          <cell r="B43" t="str">
            <v>RECURSOS DE CAPITAL</v>
          </cell>
          <cell r="E43">
            <v>16847606.002560999</v>
          </cell>
          <cell r="F43">
            <v>19182007.865153998</v>
          </cell>
          <cell r="G43">
            <v>13.855985605540312</v>
          </cell>
          <cell r="H43">
            <v>49.023480345374651</v>
          </cell>
          <cell r="I43">
            <v>48.197704749485766</v>
          </cell>
          <cell r="L43" t="str">
            <v>2.</v>
          </cell>
          <cell r="M43" t="str">
            <v>RECURSOS DE CAPITAL</v>
          </cell>
          <cell r="P43">
            <v>16847606.002560999</v>
          </cell>
          <cell r="Q43">
            <v>16847606.002560999</v>
          </cell>
          <cell r="R43">
            <v>19182007.865153998</v>
          </cell>
          <cell r="S43">
            <v>13.855985605540312</v>
          </cell>
          <cell r="T43">
            <v>13.855985605540312</v>
          </cell>
        </row>
        <row r="44">
          <cell r="H44">
            <v>0</v>
          </cell>
          <cell r="I44">
            <v>0</v>
          </cell>
        </row>
        <row r="45">
          <cell r="B45" t="str">
            <v>2.5. RECURSOS DEL CREDITO EXTERNO</v>
          </cell>
          <cell r="E45">
            <v>3352906.6945369998</v>
          </cell>
          <cell r="F45">
            <v>5299805.9730000002</v>
          </cell>
          <cell r="G45">
            <v>58.066014232819143</v>
          </cell>
          <cell r="H45">
            <v>9.7563508675668036</v>
          </cell>
          <cell r="I45">
            <v>13.316566509194494</v>
          </cell>
          <cell r="M45" t="str">
            <v>2.5. RECURSOS DEL CREDITO EXTERNO</v>
          </cell>
          <cell r="P45">
            <v>3352906.6945369998</v>
          </cell>
          <cell r="Q45">
            <v>3352906.6945369998</v>
          </cell>
          <cell r="R45">
            <v>5299805.9730000002</v>
          </cell>
          <cell r="S45">
            <v>58.066014232819143</v>
          </cell>
          <cell r="T45">
            <v>58.066014232819143</v>
          </cell>
        </row>
        <row r="46">
          <cell r="B46" t="str">
            <v>2.6. RECURSOS DEL CREDITO INTERNO</v>
          </cell>
          <cell r="E46">
            <v>10983664.808024</v>
          </cell>
          <cell r="F46">
            <v>9735498.8921539988</v>
          </cell>
          <cell r="G46">
            <v>-11.363838369850532</v>
          </cell>
          <cell r="H46">
            <v>31.960474132318691</v>
          </cell>
          <cell r="I46">
            <v>24.461917881150715</v>
          </cell>
          <cell r="M46" t="str">
            <v>2.6. RECURSOS DEL CREDITO INTERNO</v>
          </cell>
          <cell r="P46">
            <v>10983664.808024</v>
          </cell>
          <cell r="Q46">
            <v>10983664.808024</v>
          </cell>
          <cell r="R46">
            <v>9735498.8921539988</v>
          </cell>
          <cell r="S46">
            <v>-11.363838369850532</v>
          </cell>
          <cell r="T46">
            <v>-11.363838369850532</v>
          </cell>
        </row>
        <row r="47">
          <cell r="B47" t="str">
            <v>2.7. OTROS RECURSOS DE CAPITAL</v>
          </cell>
          <cell r="E47">
            <v>2511034.5</v>
          </cell>
          <cell r="F47">
            <v>4146703</v>
          </cell>
          <cell r="G47">
            <v>65.13922847336427</v>
          </cell>
          <cell r="H47">
            <v>7.3066553454891654</v>
          </cell>
          <cell r="I47">
            <v>10.419220359140558</v>
          </cell>
          <cell r="M47" t="str">
            <v>2.7. OTROS RECURSOS DE CAPITAL</v>
          </cell>
          <cell r="P47">
            <v>2511034.5</v>
          </cell>
          <cell r="Q47">
            <v>2511034.5</v>
          </cell>
          <cell r="R47">
            <v>4146703</v>
          </cell>
          <cell r="S47">
            <v>65.13922847336427</v>
          </cell>
          <cell r="T47">
            <v>65.13922847336427</v>
          </cell>
        </row>
        <row r="48">
          <cell r="B48" t="str">
            <v>NUMERAL 0001</v>
          </cell>
          <cell r="D48" t="str">
            <v>RECUPERACION DE CARTERA</v>
          </cell>
          <cell r="E48">
            <v>141600</v>
          </cell>
          <cell r="F48">
            <v>214023</v>
          </cell>
          <cell r="G48">
            <v>51.146186440677965</v>
          </cell>
          <cell r="H48">
            <v>0.41203033925709337</v>
          </cell>
          <cell r="I48">
            <v>0.53776525565596089</v>
          </cell>
          <cell r="M48" t="str">
            <v>NUMERAL 0001</v>
          </cell>
          <cell r="O48" t="str">
            <v>RECUPERACION DE CARTERA</v>
          </cell>
          <cell r="P48">
            <v>141600</v>
          </cell>
          <cell r="Q48">
            <v>141600</v>
          </cell>
          <cell r="R48">
            <v>214023</v>
          </cell>
          <cell r="S48">
            <v>51.146186440677965</v>
          </cell>
          <cell r="T48">
            <v>51.146186440677965</v>
          </cell>
        </row>
        <row r="49">
          <cell r="B49" t="str">
            <v>NUMERAL 0002</v>
          </cell>
          <cell r="D49" t="str">
            <v>RENDIMIENTOS FINANCIEROS</v>
          </cell>
          <cell r="E49">
            <v>320600</v>
          </cell>
          <cell r="F49">
            <v>179500</v>
          </cell>
          <cell r="G49">
            <v>-44.011228945726764</v>
          </cell>
          <cell r="H49">
            <v>0.93288790088858853</v>
          </cell>
          <cell r="I49">
            <v>0.45102098087703174</v>
          </cell>
          <cell r="M49" t="str">
            <v>NUMERAL 0002</v>
          </cell>
          <cell r="O49" t="str">
            <v>RENDIMIENTOS FINANCIEROS</v>
          </cell>
          <cell r="P49">
            <v>320600</v>
          </cell>
          <cell r="Q49">
            <v>320600</v>
          </cell>
          <cell r="R49">
            <v>179500</v>
          </cell>
          <cell r="S49">
            <v>-44.011228945726764</v>
          </cell>
          <cell r="T49">
            <v>-44.011228945726764</v>
          </cell>
        </row>
        <row r="50">
          <cell r="B50" t="str">
            <v>NUMERAL 0003</v>
          </cell>
          <cell r="D50" t="str">
            <v>DONACIONES</v>
          </cell>
          <cell r="E50">
            <v>13171.37456</v>
          </cell>
          <cell r="F50">
            <v>2270</v>
          </cell>
          <cell r="G50">
            <v>-82.765656009102216</v>
          </cell>
          <cell r="H50">
            <v>3.832631305394809E-2</v>
          </cell>
          <cell r="I50">
            <v>5.7037193681942176E-3</v>
          </cell>
          <cell r="M50" t="str">
            <v>NUMERAL 0003</v>
          </cell>
          <cell r="O50" t="str">
            <v>DONACIONES</v>
          </cell>
          <cell r="P50">
            <v>13171.37456</v>
          </cell>
          <cell r="Q50">
            <v>13171.37456</v>
          </cell>
          <cell r="R50">
            <v>2270</v>
          </cell>
          <cell r="S50">
            <v>-82.765656009102216</v>
          </cell>
          <cell r="T50">
            <v>-82.765656009102216</v>
          </cell>
        </row>
        <row r="51">
          <cell r="B51" t="str">
            <v>NUMERAL 0004</v>
          </cell>
          <cell r="D51" t="str">
            <v>DIFERENCIAL CAMBIARIO</v>
          </cell>
          <cell r="F51">
            <v>0</v>
          </cell>
          <cell r="H51">
            <v>0</v>
          </cell>
          <cell r="I51">
            <v>0</v>
          </cell>
          <cell r="M51" t="str">
            <v>NUMERAL 0004</v>
          </cell>
          <cell r="O51" t="str">
            <v>DIFERENCIAL CAMBIARIO</v>
          </cell>
          <cell r="R51">
            <v>0</v>
          </cell>
        </row>
        <row r="52">
          <cell r="B52" t="str">
            <v>NUMERAL 0005</v>
          </cell>
          <cell r="D52" t="str">
            <v>ENAJENACION DE ACTIVOS</v>
          </cell>
          <cell r="E52">
            <v>995800</v>
          </cell>
          <cell r="F52">
            <v>2162600</v>
          </cell>
          <cell r="G52">
            <v>117.17212291624826</v>
          </cell>
          <cell r="H52">
            <v>2.8975975411879489</v>
          </cell>
          <cell r="I52">
            <v>5.4338605751792137</v>
          </cell>
          <cell r="M52" t="str">
            <v>NUMERAL 0005</v>
          </cell>
          <cell r="O52" t="str">
            <v>ENAJENACION DE ACTIVOS</v>
          </cell>
          <cell r="P52">
            <v>995800</v>
          </cell>
          <cell r="Q52">
            <v>995800</v>
          </cell>
          <cell r="R52">
            <v>2162600</v>
          </cell>
          <cell r="S52">
            <v>117.17212291624826</v>
          </cell>
          <cell r="T52">
            <v>117.17212291624826</v>
          </cell>
        </row>
        <row r="53">
          <cell r="B53" t="str">
            <v>NUMERAL 0006</v>
          </cell>
          <cell r="C53" t="str">
            <v>0009</v>
          </cell>
          <cell r="D53" t="str">
            <v>REINTEGROS Y OTROS RECURSOS NO APROPIADOS</v>
          </cell>
          <cell r="E53">
            <v>234963.12544</v>
          </cell>
          <cell r="F53">
            <v>190000</v>
          </cell>
          <cell r="G53">
            <v>-19.136247594511058</v>
          </cell>
          <cell r="H53">
            <v>0.68370011502789674</v>
          </cell>
          <cell r="I53">
            <v>0.47740382376956003</v>
          </cell>
          <cell r="M53" t="str">
            <v>NUMERAL 0006</v>
          </cell>
          <cell r="N53" t="str">
            <v>0009</v>
          </cell>
          <cell r="O53" t="str">
            <v>REINTEGROS Y OTROS RECURSOS NO APROPIADOS</v>
          </cell>
          <cell r="P53">
            <v>234963.12544</v>
          </cell>
          <cell r="Q53">
            <v>234963.12544</v>
          </cell>
          <cell r="R53">
            <v>190000</v>
          </cell>
          <cell r="S53">
            <v>-19.136247594511058</v>
          </cell>
          <cell r="T53">
            <v>-19.136247594511058</v>
          </cell>
        </row>
        <row r="54">
          <cell r="B54" t="str">
            <v>NUMERAL 0010</v>
          </cell>
          <cell r="D54" t="str">
            <v>SUPERAVIT DE LA NACION</v>
          </cell>
          <cell r="F54">
            <v>335010</v>
          </cell>
          <cell r="H54">
            <v>0</v>
          </cell>
          <cell r="I54">
            <v>0.84176344737389652</v>
          </cell>
          <cell r="M54" t="str">
            <v>NUMERAL 0010</v>
          </cell>
          <cell r="O54" t="str">
            <v>SUPERAVIT DE LA NACION</v>
          </cell>
          <cell r="R54">
            <v>335010</v>
          </cell>
        </row>
        <row r="55">
          <cell r="B55" t="str">
            <v>NUMERAL 0011</v>
          </cell>
          <cell r="D55" t="str">
            <v xml:space="preserve">EXCEDENTES FINANCIEROS ENTIDADES DESCENTRALIZADAS </v>
          </cell>
          <cell r="E55">
            <v>804900</v>
          </cell>
          <cell r="F55">
            <v>1063300</v>
          </cell>
          <cell r="G55">
            <v>32.103366877873029</v>
          </cell>
          <cell r="H55">
            <v>2.3421131360736895</v>
          </cell>
          <cell r="I55">
            <v>2.6717025569167014</v>
          </cell>
          <cell r="M55" t="str">
            <v>NUMERAL 0011</v>
          </cell>
          <cell r="O55" t="str">
            <v xml:space="preserve">EXCEDENTES FINANCIEROS ENTIDADES DESCENTRALIZADAS </v>
          </cell>
          <cell r="P55">
            <v>804900</v>
          </cell>
          <cell r="Q55">
            <v>804900</v>
          </cell>
          <cell r="R55">
            <v>1063300</v>
          </cell>
          <cell r="S55">
            <v>32.103366877873029</v>
          </cell>
          <cell r="T55">
            <v>32.103366877873029</v>
          </cell>
        </row>
        <row r="56">
          <cell r="D56" t="str">
            <v>DEL ORDEN NACIONAL</v>
          </cell>
          <cell r="F56">
            <v>0</v>
          </cell>
          <cell r="H56">
            <v>0</v>
          </cell>
          <cell r="I56">
            <v>0</v>
          </cell>
          <cell r="O56" t="str">
            <v>DEL ORDEN NACIONAL</v>
          </cell>
          <cell r="R56">
            <v>0</v>
          </cell>
        </row>
        <row r="57">
          <cell r="H57">
            <v>0</v>
          </cell>
          <cell r="I57">
            <v>0</v>
          </cell>
        </row>
        <row r="58">
          <cell r="A58">
            <v>3</v>
          </cell>
          <cell r="B58" t="str">
            <v>RENTAS PARAFISCALES</v>
          </cell>
          <cell r="E58">
            <v>742831.93553000002</v>
          </cell>
          <cell r="F58">
            <v>495721.437148</v>
          </cell>
          <cell r="G58">
            <v>-33.266003595509154</v>
          </cell>
          <cell r="H58">
            <v>2.1615063164366468</v>
          </cell>
          <cell r="I58">
            <v>1.2455753137841938</v>
          </cell>
          <cell r="L58">
            <v>3</v>
          </cell>
          <cell r="M58" t="str">
            <v>RENTAS PARAFISCALES</v>
          </cell>
          <cell r="P58">
            <v>742831.93553000002</v>
          </cell>
          <cell r="Q58">
            <v>742831.93553000002</v>
          </cell>
          <cell r="R58">
            <v>495721.437148</v>
          </cell>
          <cell r="S58">
            <v>-33.266003595509154</v>
          </cell>
          <cell r="T58">
            <v>-33.266003595509154</v>
          </cell>
        </row>
        <row r="59">
          <cell r="B59" t="str">
            <v xml:space="preserve">NUMERAL </v>
          </cell>
          <cell r="C59" t="str">
            <v>0001</v>
          </cell>
          <cell r="D59" t="str">
            <v>FONDO DE PRESTACIONES SOCIALES DEL MAGISTERIO</v>
          </cell>
          <cell r="E59">
            <v>742831.93553000002</v>
          </cell>
          <cell r="F59">
            <v>495721.437148</v>
          </cell>
          <cell r="G59">
            <v>-33.266003595509154</v>
          </cell>
          <cell r="H59">
            <v>2.1615063164366468</v>
          </cell>
          <cell r="I59">
            <v>1.2455753137841938</v>
          </cell>
          <cell r="M59" t="str">
            <v xml:space="preserve">NUMERAL </v>
          </cell>
          <cell r="N59" t="str">
            <v>0001</v>
          </cell>
          <cell r="O59" t="str">
            <v>FONDO DE PRESTACIONES SOCIALES DEL MAGISTERIO</v>
          </cell>
          <cell r="P59">
            <v>742831.93553000002</v>
          </cell>
          <cell r="Q59">
            <v>742831.93553000002</v>
          </cell>
          <cell r="R59">
            <v>495721.437148</v>
          </cell>
          <cell r="S59">
            <v>-33.266003595509154</v>
          </cell>
          <cell r="T59">
            <v>-33.266003595509154</v>
          </cell>
        </row>
        <row r="60">
          <cell r="H60">
            <v>0</v>
          </cell>
          <cell r="I60">
            <v>0</v>
          </cell>
        </row>
        <row r="61">
          <cell r="A61">
            <v>4</v>
          </cell>
          <cell r="B61" t="str">
            <v>FONDOS ESPECIALES</v>
          </cell>
          <cell r="E61">
            <v>1802005.268379</v>
          </cell>
          <cell r="F61">
            <v>2306878.6946720001</v>
          </cell>
          <cell r="G61">
            <v>28.017311333787642</v>
          </cell>
          <cell r="H61">
            <v>5.2435087717038771</v>
          </cell>
          <cell r="I61">
            <v>5.7963826832049703</v>
          </cell>
          <cell r="L61">
            <v>4</v>
          </cell>
          <cell r="M61" t="str">
            <v>FONDOS ESPECIALES</v>
          </cell>
          <cell r="P61">
            <v>1802005.268379</v>
          </cell>
          <cell r="Q61">
            <v>1802005.268379</v>
          </cell>
          <cell r="R61">
            <v>2306878.6946720001</v>
          </cell>
          <cell r="S61">
            <v>28.017311333787642</v>
          </cell>
          <cell r="T61">
            <v>28.017311333787642</v>
          </cell>
        </row>
        <row r="62">
          <cell r="B62" t="str">
            <v xml:space="preserve">NUMERAL </v>
          </cell>
          <cell r="C62" t="str">
            <v>0002</v>
          </cell>
          <cell r="D62" t="str">
            <v>CONTRIB. ENTIDADES FISCALIZADAS POR LA CONTRALORIA</v>
          </cell>
          <cell r="E62">
            <v>105196.789244</v>
          </cell>
          <cell r="F62">
            <v>121624.162707</v>
          </cell>
          <cell r="G62">
            <v>15.615850617738269</v>
          </cell>
          <cell r="H62">
            <v>0.30610359294464884</v>
          </cell>
          <cell r="I62">
            <v>0.30559915967943652</v>
          </cell>
          <cell r="M62" t="str">
            <v xml:space="preserve">NUMERAL </v>
          </cell>
          <cell r="N62" t="str">
            <v>0002</v>
          </cell>
          <cell r="O62" t="str">
            <v>CONTRIB. ENTIDADES FISCALIZADAS POR LA CONTRALORIA</v>
          </cell>
          <cell r="P62">
            <v>105196.789244</v>
          </cell>
          <cell r="Q62">
            <v>105196.789244</v>
          </cell>
          <cell r="R62">
            <v>121624.162707</v>
          </cell>
          <cell r="S62">
            <v>15.615850617738269</v>
          </cell>
          <cell r="T62">
            <v>15.615850617738269</v>
          </cell>
        </row>
        <row r="63">
          <cell r="B63" t="str">
            <v xml:space="preserve">NUMERAL </v>
          </cell>
          <cell r="C63" t="str">
            <v>0003</v>
          </cell>
          <cell r="D63" t="str">
            <v>CONTRIB. SUPERINTENDENCIA DEL SUBSIDIO FAMILIAR</v>
          </cell>
          <cell r="E63">
            <v>3085.2217500000002</v>
          </cell>
          <cell r="F63">
            <v>4062.721</v>
          </cell>
          <cell r="G63">
            <v>31.683273657720058</v>
          </cell>
          <cell r="H63">
            <v>8.9774361888125959E-3</v>
          </cell>
          <cell r="I63">
            <v>1.0208202843731005E-2</v>
          </cell>
          <cell r="M63" t="str">
            <v xml:space="preserve">NUMERAL </v>
          </cell>
          <cell r="N63" t="str">
            <v>0003</v>
          </cell>
          <cell r="O63" t="str">
            <v>CONTRIB. SUPERINTENDENCIA DEL SUBSIDIO FAMILIAR</v>
          </cell>
          <cell r="P63">
            <v>3085.2217500000002</v>
          </cell>
          <cell r="Q63">
            <v>3085.2217500000002</v>
          </cell>
          <cell r="R63">
            <v>4062.721</v>
          </cell>
          <cell r="S63">
            <v>31.683273657720058</v>
          </cell>
          <cell r="T63">
            <v>31.683273657720058</v>
          </cell>
        </row>
        <row r="64">
          <cell r="B64" t="str">
            <v xml:space="preserve">NUMERAL </v>
          </cell>
          <cell r="C64" t="str">
            <v>0004</v>
          </cell>
          <cell r="D64" t="str">
            <v>CONTRIBUCIONES SUPERBANCARIA</v>
          </cell>
          <cell r="E64">
            <v>47355.664632</v>
          </cell>
          <cell r="F64">
            <v>53962.781024000004</v>
          </cell>
          <cell r="G64">
            <v>13.952114162780283</v>
          </cell>
          <cell r="H64">
            <v>0.1377964022886165</v>
          </cell>
          <cell r="I64">
            <v>0.13558967369524769</v>
          </cell>
          <cell r="M64" t="str">
            <v xml:space="preserve">NUMERAL </v>
          </cell>
          <cell r="N64" t="str">
            <v>0004</v>
          </cell>
          <cell r="O64" t="str">
            <v>CONTRIBUCIONES SUPERBANCARIA</v>
          </cell>
          <cell r="P64">
            <v>47355.664632</v>
          </cell>
          <cell r="Q64">
            <v>47355.664632</v>
          </cell>
          <cell r="R64">
            <v>53962.781024000004</v>
          </cell>
          <cell r="S64">
            <v>13.952114162780283</v>
          </cell>
          <cell r="T64">
            <v>13.952114162780283</v>
          </cell>
        </row>
        <row r="65">
          <cell r="B65" t="str">
            <v xml:space="preserve">NUMERAL </v>
          </cell>
          <cell r="C65" t="str">
            <v>0005</v>
          </cell>
          <cell r="D65" t="str">
            <v>SUPERINTENDENCIA INDUSTRIA Y COMERCIO</v>
          </cell>
          <cell r="E65">
            <v>9864.1455929999993</v>
          </cell>
          <cell r="F65">
            <v>11383.514219000001</v>
          </cell>
          <cell r="G65">
            <v>15.402942015355169</v>
          </cell>
          <cell r="H65">
            <v>2.8702876095799093E-2</v>
          </cell>
          <cell r="I65">
            <v>2.8602806400451358E-2</v>
          </cell>
          <cell r="M65" t="str">
            <v xml:space="preserve">NUMERAL </v>
          </cell>
          <cell r="N65" t="str">
            <v>0005</v>
          </cell>
          <cell r="O65" t="str">
            <v>SUPERINTENDENCIA INDUSTRIA Y COMERCIO</v>
          </cell>
          <cell r="P65">
            <v>9864.1455929999993</v>
          </cell>
          <cell r="Q65">
            <v>9864.1455929999993</v>
          </cell>
          <cell r="R65">
            <v>11383.514219000001</v>
          </cell>
          <cell r="S65">
            <v>15.402942015355169</v>
          </cell>
          <cell r="T65">
            <v>15.402942015355169</v>
          </cell>
        </row>
        <row r="66">
          <cell r="B66" t="str">
            <v xml:space="preserve">NUMERAL </v>
          </cell>
          <cell r="C66" t="str">
            <v>0006</v>
          </cell>
          <cell r="D66" t="str">
            <v>SUPERINTENDENCIA NACIONAL DE VALORES</v>
          </cell>
          <cell r="E66">
            <v>1659.725173</v>
          </cell>
          <cell r="F66">
            <v>1892.087</v>
          </cell>
          <cell r="G66">
            <v>14.000018242779277</v>
          </cell>
          <cell r="H66">
            <v>4.8294994781407346E-3</v>
          </cell>
          <cell r="I66">
            <v>4.7541556247614513E-3</v>
          </cell>
          <cell r="M66" t="str">
            <v xml:space="preserve">NUMERAL </v>
          </cell>
          <cell r="N66" t="str">
            <v>0006</v>
          </cell>
          <cell r="O66" t="str">
            <v>SUPERINTENDENCIA NACIONAL DE VALORES</v>
          </cell>
          <cell r="P66">
            <v>1659.725173</v>
          </cell>
          <cell r="Q66">
            <v>1659.725173</v>
          </cell>
          <cell r="R66">
            <v>1892.087</v>
          </cell>
          <cell r="S66">
            <v>14.000018242779277</v>
          </cell>
          <cell r="T66">
            <v>14.000018242779277</v>
          </cell>
        </row>
        <row r="67">
          <cell r="B67" t="str">
            <v xml:space="preserve">NUMERAL </v>
          </cell>
          <cell r="C67" t="str">
            <v>0007</v>
          </cell>
          <cell r="D67" t="str">
            <v>CONTRIB. ENTIDADES CONTROLADAS POR SUPERPUERTOS</v>
          </cell>
          <cell r="E67">
            <v>13025.01237</v>
          </cell>
          <cell r="F67">
            <v>19847.386159999998</v>
          </cell>
          <cell r="G67">
            <v>52.379019660002044</v>
          </cell>
          <cell r="H67">
            <v>3.7900425604794757E-2</v>
          </cell>
          <cell r="I67">
            <v>4.9869568655868661E-2</v>
          </cell>
          <cell r="M67" t="str">
            <v xml:space="preserve">NUMERAL </v>
          </cell>
          <cell r="N67" t="str">
            <v>0007</v>
          </cell>
          <cell r="O67" t="str">
            <v>CONTRIB. ENTIDADES CONTROLADAS POR SUPERPUERTOS</v>
          </cell>
          <cell r="P67">
            <v>13025.01237</v>
          </cell>
          <cell r="Q67">
            <v>13025.01237</v>
          </cell>
          <cell r="R67">
            <v>19847.386159999998</v>
          </cell>
          <cell r="S67">
            <v>52.379019660002044</v>
          </cell>
          <cell r="T67">
            <v>52.379019660002044</v>
          </cell>
        </row>
        <row r="68">
          <cell r="B68" t="str">
            <v xml:space="preserve">NUMERAL </v>
          </cell>
          <cell r="C68" t="str">
            <v>0008</v>
          </cell>
          <cell r="D68" t="str">
            <v>CONTRIBUCION PARA LA DESCENTRALIZACIÓN</v>
          </cell>
          <cell r="E68">
            <v>154000</v>
          </cell>
          <cell r="F68">
            <v>206597.15109500001</v>
          </cell>
          <cell r="G68">
            <v>34.153994217532471</v>
          </cell>
          <cell r="H68">
            <v>0.44811209212988967</v>
          </cell>
          <cell r="I68">
            <v>0.51910668375079239</v>
          </cell>
          <cell r="M68" t="str">
            <v xml:space="preserve">NUMERAL </v>
          </cell>
          <cell r="N68" t="str">
            <v>0008</v>
          </cell>
          <cell r="O68" t="str">
            <v>CONTRIBUCION PARA LA DESCENTRALIZACIÓN</v>
          </cell>
          <cell r="P68">
            <v>154000</v>
          </cell>
          <cell r="Q68">
            <v>154000</v>
          </cell>
          <cell r="R68">
            <v>206597.15109500001</v>
          </cell>
          <cell r="S68">
            <v>34.153994217532471</v>
          </cell>
          <cell r="T68">
            <v>34.153994217532471</v>
          </cell>
        </row>
        <row r="69">
          <cell r="B69" t="str">
            <v xml:space="preserve">NUMERAL </v>
          </cell>
          <cell r="C69" t="str">
            <v>0009</v>
          </cell>
          <cell r="D69" t="str">
            <v>FINANCIACION SECTOR JUSTICIA</v>
          </cell>
          <cell r="E69">
            <v>70045.265759999995</v>
          </cell>
          <cell r="F69">
            <v>101174.95696700001</v>
          </cell>
          <cell r="G69">
            <v>44.442248693382666</v>
          </cell>
          <cell r="H69">
            <v>0.20381902976303717</v>
          </cell>
          <cell r="I69">
            <v>0.25421742803034997</v>
          </cell>
          <cell r="M69" t="str">
            <v xml:space="preserve">NUMERAL </v>
          </cell>
          <cell r="N69" t="str">
            <v>0009</v>
          </cell>
          <cell r="O69" t="str">
            <v>FINANCIACION SECTOR JUSTICIA</v>
          </cell>
          <cell r="P69">
            <v>70045.265759999995</v>
          </cell>
          <cell r="Q69">
            <v>70045.265759999995</v>
          </cell>
          <cell r="R69">
            <v>101174.95696700001</v>
          </cell>
          <cell r="S69">
            <v>44.442248693382666</v>
          </cell>
          <cell r="T69">
            <v>44.442248693382666</v>
          </cell>
        </row>
        <row r="70">
          <cell r="B70" t="str">
            <v xml:space="preserve">NUMERAL </v>
          </cell>
          <cell r="C70" t="str">
            <v>0010</v>
          </cell>
          <cell r="D70" t="str">
            <v>FONDO DE DEFENSA NACIONAL</v>
          </cell>
          <cell r="F70">
            <v>20970</v>
          </cell>
          <cell r="H70">
            <v>0</v>
          </cell>
          <cell r="I70">
            <v>5.2690306233935134E-2</v>
          </cell>
          <cell r="M70" t="str">
            <v xml:space="preserve">NUMERAL </v>
          </cell>
          <cell r="N70" t="str">
            <v>0010</v>
          </cell>
          <cell r="O70" t="str">
            <v>FONDO DE DEFENSA NACIONAL</v>
          </cell>
          <cell r="Q70">
            <v>0</v>
          </cell>
          <cell r="R70">
            <v>20970</v>
          </cell>
        </row>
        <row r="71">
          <cell r="B71" t="str">
            <v xml:space="preserve">NUMERAL </v>
          </cell>
          <cell r="C71" t="str">
            <v>0011</v>
          </cell>
          <cell r="D71" t="str">
            <v>PRODUCTO ELECTRONICO DE IDIOMAS</v>
          </cell>
          <cell r="F71">
            <v>0</v>
          </cell>
          <cell r="H71">
            <v>0</v>
          </cell>
          <cell r="I71">
            <v>0</v>
          </cell>
          <cell r="M71" t="str">
            <v xml:space="preserve">NUMERAL </v>
          </cell>
          <cell r="N71" t="str">
            <v>0011</v>
          </cell>
          <cell r="O71" t="str">
            <v>PRODUCTO ELECTRONICO DE IDIOMAS</v>
          </cell>
          <cell r="Q71">
            <v>0</v>
          </cell>
          <cell r="R71">
            <v>0</v>
          </cell>
        </row>
        <row r="72">
          <cell r="B72" t="str">
            <v xml:space="preserve">NUMERAL </v>
          </cell>
          <cell r="C72" t="str">
            <v>0012</v>
          </cell>
          <cell r="D72" t="str">
            <v>FONDOS DOCENTES Y ADMINISTRATIVOS  U. NUEVA GRANADA</v>
          </cell>
          <cell r="E72">
            <v>20355.799862</v>
          </cell>
          <cell r="F72">
            <v>0</v>
          </cell>
          <cell r="H72">
            <v>5.9231688721676237E-2</v>
          </cell>
          <cell r="I72">
            <v>0</v>
          </cell>
          <cell r="M72" t="str">
            <v xml:space="preserve">NUMERAL </v>
          </cell>
          <cell r="N72" t="str">
            <v>0012</v>
          </cell>
          <cell r="O72" t="str">
            <v>FONDOS DOCENTES Y ADMINISTRATIVOS  U. NUEVA GRANADA</v>
          </cell>
          <cell r="P72">
            <v>20355.799862</v>
          </cell>
          <cell r="Q72">
            <v>20355.799862</v>
          </cell>
          <cell r="R72">
            <v>0</v>
          </cell>
        </row>
        <row r="73">
          <cell r="B73" t="str">
            <v xml:space="preserve">NUMERAL </v>
          </cell>
          <cell r="C73" t="str">
            <v>0013</v>
          </cell>
          <cell r="D73" t="str">
            <v>FONDO DE ESTUPEFACIENTES-MIN SALUD</v>
          </cell>
          <cell r="E73">
            <v>2112.1638280000002</v>
          </cell>
          <cell r="F73">
            <v>3135.5578780000001</v>
          </cell>
          <cell r="G73">
            <v>48.452399214176857</v>
          </cell>
          <cell r="H73">
            <v>6.1460139732867312E-3</v>
          </cell>
          <cell r="I73">
            <v>7.8785648453050944E-3</v>
          </cell>
          <cell r="M73" t="str">
            <v xml:space="preserve">NUMERAL </v>
          </cell>
          <cell r="N73" t="str">
            <v>0013</v>
          </cell>
          <cell r="O73" t="str">
            <v>FONDO DE ESTUPEFACIENTES-MIN SALUD</v>
          </cell>
          <cell r="P73">
            <v>2112.1638280000002</v>
          </cell>
          <cell r="Q73">
            <v>2112.1638280000002</v>
          </cell>
          <cell r="R73">
            <v>3135.5578780000001</v>
          </cell>
          <cell r="S73">
            <v>48.452399214176857</v>
          </cell>
          <cell r="T73">
            <v>48.452399214176857</v>
          </cell>
        </row>
        <row r="74">
          <cell r="B74" t="str">
            <v xml:space="preserve">NUMERAL </v>
          </cell>
          <cell r="C74" t="str">
            <v>0014</v>
          </cell>
          <cell r="D74" t="str">
            <v xml:space="preserve">FONDOS INTERNOS DEL MINISTERIO DE DEFENSA </v>
          </cell>
          <cell r="E74">
            <v>86435.684122000006</v>
          </cell>
          <cell r="F74">
            <v>95972.661884999994</v>
          </cell>
          <cell r="G74">
            <v>11.033611707797641</v>
          </cell>
          <cell r="H74">
            <v>0.25151217692589423</v>
          </cell>
          <cell r="I74">
            <v>0.24114587242759009</v>
          </cell>
          <cell r="M74" t="str">
            <v xml:space="preserve">NUMERAL </v>
          </cell>
          <cell r="N74" t="str">
            <v>0014</v>
          </cell>
          <cell r="O74" t="str">
            <v xml:space="preserve">FONDOS INTERNOS DEL MINISTERIO DE DEFENSA </v>
          </cell>
          <cell r="P74">
            <v>86435.684122000006</v>
          </cell>
          <cell r="Q74">
            <v>86435.684122000006</v>
          </cell>
          <cell r="R74">
            <v>95972.661884999994</v>
          </cell>
          <cell r="S74">
            <v>11.033611707797641</v>
          </cell>
          <cell r="T74">
            <v>11.033611707797641</v>
          </cell>
        </row>
        <row r="75">
          <cell r="B75" t="str">
            <v xml:space="preserve">NUMERAL </v>
          </cell>
          <cell r="C75" t="str">
            <v>0015</v>
          </cell>
          <cell r="D75" t="str">
            <v xml:space="preserve">FONDOS INTERNOS DE LA POLICIA </v>
          </cell>
          <cell r="E75">
            <v>35492.475507000003</v>
          </cell>
          <cell r="F75">
            <v>39214.421839000002</v>
          </cell>
          <cell r="G75">
            <v>10.486578574283833</v>
          </cell>
          <cell r="H75">
            <v>0.10327667178123791</v>
          </cell>
          <cell r="I75">
            <v>9.8532183857111294E-2</v>
          </cell>
          <cell r="M75" t="str">
            <v xml:space="preserve">NUMERAL </v>
          </cell>
          <cell r="N75" t="str">
            <v>0015</v>
          </cell>
          <cell r="O75" t="str">
            <v xml:space="preserve">FONDOS INTERNOS DE LA POLICIA </v>
          </cell>
          <cell r="P75">
            <v>35492.475507000003</v>
          </cell>
          <cell r="Q75">
            <v>35492.475507000003</v>
          </cell>
          <cell r="R75">
            <v>39214.421839000002</v>
          </cell>
          <cell r="S75">
            <v>10.486578574283833</v>
          </cell>
          <cell r="T75">
            <v>10.486578574283833</v>
          </cell>
        </row>
        <row r="76">
          <cell r="B76" t="str">
            <v xml:space="preserve">NUMERAL </v>
          </cell>
          <cell r="C76" t="str">
            <v>0016</v>
          </cell>
          <cell r="D76" t="str">
            <v>FONDO DE PUBLICACIONES DE LA CONTRALORIA</v>
          </cell>
          <cell r="F76">
            <v>0</v>
          </cell>
          <cell r="H76">
            <v>0</v>
          </cell>
          <cell r="I76">
            <v>0</v>
          </cell>
          <cell r="M76" t="str">
            <v xml:space="preserve">NUMERAL </v>
          </cell>
          <cell r="N76" t="str">
            <v>0016</v>
          </cell>
          <cell r="O76" t="str">
            <v>FONDO DE PUBLICACIONES DE LA CONTRALORIA</v>
          </cell>
          <cell r="Q76">
            <v>0</v>
          </cell>
          <cell r="R76">
            <v>0</v>
          </cell>
        </row>
        <row r="77">
          <cell r="B77" t="str">
            <v xml:space="preserve">NUMERAL </v>
          </cell>
          <cell r="C77" t="str">
            <v>0017</v>
          </cell>
          <cell r="D77" t="str">
            <v>FONDO ROTATORIO MINISTERIO DE MINAS Y ENERGIA</v>
          </cell>
          <cell r="E77">
            <v>800.4</v>
          </cell>
          <cell r="F77">
            <v>912.5</v>
          </cell>
          <cell r="G77">
            <v>14.005497251374322</v>
          </cell>
          <cell r="H77">
            <v>2.3290189515634005E-3</v>
          </cell>
          <cell r="I77">
            <v>2.2927946799459137E-3</v>
          </cell>
          <cell r="M77" t="str">
            <v xml:space="preserve">NUMERAL </v>
          </cell>
          <cell r="N77" t="str">
            <v>0017</v>
          </cell>
          <cell r="O77" t="str">
            <v>FONDO ROTATORIO MINISTERIO DE MINAS Y ENERGIA</v>
          </cell>
          <cell r="P77">
            <v>800.4</v>
          </cell>
          <cell r="Q77">
            <v>800.4</v>
          </cell>
          <cell r="R77">
            <v>912.5</v>
          </cell>
          <cell r="S77">
            <v>14.005497251374322</v>
          </cell>
          <cell r="T77">
            <v>14.005497251374322</v>
          </cell>
        </row>
        <row r="78">
          <cell r="B78" t="str">
            <v xml:space="preserve">NUMERAL </v>
          </cell>
          <cell r="C78" t="str">
            <v>0018</v>
          </cell>
          <cell r="D78" t="str">
            <v>FONDO NACIONAL DE REGALIAS</v>
          </cell>
          <cell r="E78">
            <v>104644.93087500001</v>
          </cell>
          <cell r="F78">
            <v>523853.985201</v>
          </cell>
          <cell r="G78">
            <v>400.60139637987027</v>
          </cell>
          <cell r="H78">
            <v>0.30449778509859698</v>
          </cell>
          <cell r="I78">
            <v>1.3162626085888418</v>
          </cell>
          <cell r="M78" t="str">
            <v xml:space="preserve">NUMERAL </v>
          </cell>
          <cell r="N78" t="str">
            <v>0018</v>
          </cell>
          <cell r="O78" t="str">
            <v>FONDO NACIONAL DE REGALIAS</v>
          </cell>
          <cell r="P78">
            <v>104644.93087500001</v>
          </cell>
          <cell r="Q78">
            <v>104644.93087500001</v>
          </cell>
          <cell r="R78">
            <v>523853.985201</v>
          </cell>
          <cell r="S78">
            <v>400.60139637987027</v>
          </cell>
          <cell r="T78">
            <v>400.60139637987027</v>
          </cell>
        </row>
        <row r="79">
          <cell r="B79" t="str">
            <v xml:space="preserve">NUMERAL </v>
          </cell>
          <cell r="C79" t="str">
            <v>0019</v>
          </cell>
          <cell r="D79" t="str">
            <v>ESCUELAS INDUSTRIALES E INSTITUTOS TECNICOS</v>
          </cell>
          <cell r="E79">
            <v>33567.681960000002</v>
          </cell>
          <cell r="F79">
            <v>44205.705342000001</v>
          </cell>
          <cell r="G79">
            <v>31.691266006024811</v>
          </cell>
          <cell r="H79">
            <v>9.7675871370430892E-2</v>
          </cell>
          <cell r="I79">
            <v>0.11107354085632248</v>
          </cell>
          <cell r="M79" t="str">
            <v xml:space="preserve">NUMERAL </v>
          </cell>
          <cell r="N79" t="str">
            <v>0019</v>
          </cell>
          <cell r="O79" t="str">
            <v>ESCUELAS INDUSTRIALES E INSTITUTOS TECNICOS</v>
          </cell>
          <cell r="P79">
            <v>33567.681960000002</v>
          </cell>
          <cell r="Q79">
            <v>33567.681960000002</v>
          </cell>
          <cell r="R79">
            <v>44205.705342000001</v>
          </cell>
          <cell r="S79">
            <v>31.691266006024811</v>
          </cell>
          <cell r="T79">
            <v>31.691266006024811</v>
          </cell>
        </row>
        <row r="80">
          <cell r="B80" t="str">
            <v xml:space="preserve">NUMERAL </v>
          </cell>
          <cell r="C80" t="str">
            <v>0020</v>
          </cell>
          <cell r="D80" t="str">
            <v>JUNTA CENTRAL DE CONTADORES</v>
          </cell>
          <cell r="E80">
            <v>674.00200600000005</v>
          </cell>
          <cell r="H80">
            <v>1.9612236948597563E-3</v>
          </cell>
          <cell r="I80">
            <v>0</v>
          </cell>
          <cell r="M80" t="str">
            <v xml:space="preserve">NUMERAL </v>
          </cell>
          <cell r="N80" t="str">
            <v>0020</v>
          </cell>
          <cell r="O80" t="str">
            <v>JUNTA CENTRAL DE CONTADORES</v>
          </cell>
          <cell r="P80">
            <v>674.00200600000005</v>
          </cell>
          <cell r="Q80">
            <v>674.00200600000005</v>
          </cell>
        </row>
        <row r="81">
          <cell r="B81" t="str">
            <v xml:space="preserve">NUMERAL </v>
          </cell>
          <cell r="C81" t="str">
            <v>0021</v>
          </cell>
          <cell r="D81" t="str">
            <v>FONDO DE SOLIDARIDAD Y GARANTIA DEL SECTOR SALUD</v>
          </cell>
          <cell r="E81">
            <v>768191.34397799999</v>
          </cell>
          <cell r="F81">
            <v>565166.85100000002</v>
          </cell>
          <cell r="G81">
            <v>-26.42889620789769</v>
          </cell>
          <cell r="H81">
            <v>2.2352975993899564</v>
          </cell>
          <cell r="I81">
            <v>1.4200674512379012</v>
          </cell>
          <cell r="M81" t="str">
            <v xml:space="preserve">NUMERAL </v>
          </cell>
          <cell r="N81" t="str">
            <v>0021</v>
          </cell>
          <cell r="O81" t="str">
            <v>FONDO DE SOLIDARIDAD Y GARANTIA DEL SECTOR SALUD</v>
          </cell>
          <cell r="P81">
            <v>768191.34397799999</v>
          </cell>
          <cell r="Q81">
            <v>768191.34397799999</v>
          </cell>
          <cell r="R81">
            <v>565166.85100000002</v>
          </cell>
          <cell r="S81">
            <v>-26.42889620789769</v>
          </cell>
          <cell r="T81">
            <v>-26.42889620789769</v>
          </cell>
        </row>
        <row r="82">
          <cell r="B82" t="str">
            <v xml:space="preserve">NUMERAL </v>
          </cell>
          <cell r="C82" t="str">
            <v>0022</v>
          </cell>
          <cell r="D82" t="str">
            <v>FONDO DE SOLIDARIDAD PENSIONAL</v>
          </cell>
          <cell r="E82">
            <v>60000</v>
          </cell>
          <cell r="F82">
            <v>150339.9</v>
          </cell>
          <cell r="G82">
            <v>150.56649999999999</v>
          </cell>
          <cell r="H82">
            <v>0.17458912680385313</v>
          </cell>
          <cell r="I82">
            <v>0.37775180592175417</v>
          </cell>
          <cell r="M82" t="str">
            <v xml:space="preserve">NUMERAL </v>
          </cell>
          <cell r="N82" t="str">
            <v>0022</v>
          </cell>
          <cell r="O82" t="str">
            <v>FONDO DE SOLIDARIDAD PENSIONAL</v>
          </cell>
          <cell r="P82">
            <v>60000</v>
          </cell>
          <cell r="Q82">
            <v>60000</v>
          </cell>
          <cell r="R82">
            <v>150339.9</v>
          </cell>
          <cell r="S82">
            <v>150.56649999999999</v>
          </cell>
          <cell r="T82">
            <v>150.56649999999999</v>
          </cell>
        </row>
        <row r="83">
          <cell r="B83" t="str">
            <v xml:space="preserve">NUMERAL </v>
          </cell>
          <cell r="C83" t="str">
            <v>0023</v>
          </cell>
          <cell r="D83" t="str">
            <v>COMISION DE REGULACION DE TELECOMUNICACIONES</v>
          </cell>
          <cell r="E83">
            <v>4270.1380630000003</v>
          </cell>
          <cell r="F83">
            <v>4888.6301080000003</v>
          </cell>
          <cell r="G83">
            <v>14.484122898955555</v>
          </cell>
          <cell r="H83">
            <v>1.2425327929184446E-2</v>
          </cell>
          <cell r="I83">
            <v>1.2283424771337884E-2</v>
          </cell>
          <cell r="M83" t="str">
            <v xml:space="preserve">NUMERAL </v>
          </cell>
          <cell r="N83" t="str">
            <v>0023</v>
          </cell>
          <cell r="O83" t="str">
            <v>COMISION DE REGULACION DE TELECOMUNICACIONES</v>
          </cell>
          <cell r="P83">
            <v>4270.1380630000003</v>
          </cell>
          <cell r="Q83">
            <v>4270.1380630000003</v>
          </cell>
          <cell r="R83">
            <v>4888.6301080000003</v>
          </cell>
          <cell r="S83">
            <v>14.484122898955555</v>
          </cell>
          <cell r="T83">
            <v>14.484122898955555</v>
          </cell>
        </row>
        <row r="84">
          <cell r="B84" t="str">
            <v xml:space="preserve">NUMERAL </v>
          </cell>
          <cell r="C84" t="str">
            <v>0024</v>
          </cell>
          <cell r="D84" t="str">
            <v>COMISION DE REGULACION DE ENERGIA Y GAS</v>
          </cell>
          <cell r="E84">
            <v>3730.4304050000001</v>
          </cell>
          <cell r="F84">
            <v>4228.8485199999996</v>
          </cell>
          <cell r="G84">
            <v>13.360874239389521</v>
          </cell>
          <cell r="H84">
            <v>1.0854876450191569E-2</v>
          </cell>
          <cell r="I84">
            <v>1.0625623439948658E-2</v>
          </cell>
          <cell r="M84" t="str">
            <v xml:space="preserve">NUMERAL </v>
          </cell>
          <cell r="N84" t="str">
            <v>0024</v>
          </cell>
          <cell r="O84" t="str">
            <v>COMISION DE REGULACION DE ENERGIA Y GAS</v>
          </cell>
          <cell r="P84">
            <v>3730.4304050000001</v>
          </cell>
          <cell r="Q84">
            <v>3730.4304050000001</v>
          </cell>
          <cell r="R84">
            <v>4228.8485199999996</v>
          </cell>
          <cell r="S84">
            <v>13.360874239389521</v>
          </cell>
          <cell r="T84">
            <v>13.360874239389521</v>
          </cell>
        </row>
        <row r="85">
          <cell r="B85" t="str">
            <v xml:space="preserve">NUMERAL </v>
          </cell>
          <cell r="C85" t="str">
            <v>0025</v>
          </cell>
          <cell r="D85" t="str">
            <v>COMISION DE REGULACION DE AGUA POTABLE</v>
          </cell>
          <cell r="E85">
            <v>2670.214555</v>
          </cell>
          <cell r="F85">
            <v>3189.125642</v>
          </cell>
          <cell r="G85">
            <v>19.433310556574355</v>
          </cell>
          <cell r="H85">
            <v>7.7698404589398211E-3</v>
          </cell>
          <cell r="I85">
            <v>8.0131619788018586E-3</v>
          </cell>
          <cell r="M85" t="str">
            <v xml:space="preserve">NUMERAL </v>
          </cell>
          <cell r="N85" t="str">
            <v>0025</v>
          </cell>
          <cell r="O85" t="str">
            <v>COMISION DE REGULACION DE AGUA POTABLE</v>
          </cell>
          <cell r="P85">
            <v>2670.214555</v>
          </cell>
          <cell r="Q85">
            <v>2670.214555</v>
          </cell>
          <cell r="R85">
            <v>3189.125642</v>
          </cell>
          <cell r="S85">
            <v>19.433310556574355</v>
          </cell>
          <cell r="T85">
            <v>19.433310556574355</v>
          </cell>
        </row>
        <row r="86">
          <cell r="B86" t="str">
            <v xml:space="preserve">NUMERAL </v>
          </cell>
          <cell r="C86" t="str">
            <v>0026</v>
          </cell>
          <cell r="D86" t="str">
            <v>UNIDAD ADMINISTRATIVA ESPECIAL MINERO-ENERGETICA</v>
          </cell>
          <cell r="F86">
            <v>0</v>
          </cell>
          <cell r="H86">
            <v>0</v>
          </cell>
          <cell r="I86">
            <v>0</v>
          </cell>
          <cell r="M86" t="str">
            <v xml:space="preserve">NUMERAL </v>
          </cell>
          <cell r="N86" t="str">
            <v>0026</v>
          </cell>
          <cell r="O86" t="str">
            <v>UNIDAD ADMINISTRATIVA ESPECIAL MINERO-ENERGETICA</v>
          </cell>
          <cell r="Q86">
            <v>0</v>
          </cell>
          <cell r="R86">
            <v>0</v>
          </cell>
        </row>
        <row r="87">
          <cell r="B87" t="str">
            <v xml:space="preserve">NUMERAL </v>
          </cell>
          <cell r="C87" t="str">
            <v>0029</v>
          </cell>
          <cell r="D87" t="str">
            <v>FONDO DE RIESGOS PROFESIONALES ( ART. 87 DTO 1295 DE 1994 )</v>
          </cell>
          <cell r="E87">
            <v>5800</v>
          </cell>
          <cell r="F87">
            <v>7032</v>
          </cell>
          <cell r="G87">
            <v>21.241379310344822</v>
          </cell>
          <cell r="H87">
            <v>1.687694892437247E-2</v>
          </cell>
          <cell r="I87">
            <v>1.7668966782881823E-2</v>
          </cell>
          <cell r="M87" t="str">
            <v xml:space="preserve">NUMERAL </v>
          </cell>
          <cell r="N87" t="str">
            <v>0029</v>
          </cell>
          <cell r="O87" t="str">
            <v>FONDO DE RIESGOS PROFESIONALES ( ART. 87 DTO 1295 DE 1994 )</v>
          </cell>
          <cell r="P87">
            <v>5800</v>
          </cell>
          <cell r="Q87">
            <v>5800</v>
          </cell>
          <cell r="R87">
            <v>7032</v>
          </cell>
          <cell r="S87">
            <v>21.241379310344822</v>
          </cell>
          <cell r="T87">
            <v>21.241379310344822</v>
          </cell>
        </row>
        <row r="88">
          <cell r="B88" t="str">
            <v xml:space="preserve">NUMERAL </v>
          </cell>
          <cell r="C88" t="str">
            <v>0030</v>
          </cell>
          <cell r="D88" t="str">
            <v>FONDO BIENESTAR SOCIAL DIAN</v>
          </cell>
          <cell r="E88">
            <v>836.12800000000004</v>
          </cell>
          <cell r="F88">
            <v>0</v>
          </cell>
          <cell r="H88">
            <v>2.4329809569375352E-3</v>
          </cell>
          <cell r="I88">
            <v>0</v>
          </cell>
          <cell r="M88" t="str">
            <v xml:space="preserve">NUMERAL </v>
          </cell>
          <cell r="N88" t="str">
            <v>0030</v>
          </cell>
          <cell r="O88" t="str">
            <v>FONDO BIENESTAR SOCIAL DIAN</v>
          </cell>
          <cell r="P88">
            <v>836.12800000000004</v>
          </cell>
          <cell r="Q88">
            <v>836.12800000000004</v>
          </cell>
          <cell r="R88">
            <v>0</v>
          </cell>
        </row>
        <row r="89">
          <cell r="B89" t="str">
            <v xml:space="preserve">NUMERAL </v>
          </cell>
          <cell r="C89" t="str">
            <v>0031</v>
          </cell>
          <cell r="D89" t="str">
            <v>INSTITUTO DE ESTUDIOS DEL MINISTERIO PUBLICO</v>
          </cell>
          <cell r="E89">
            <v>756.41933700000004</v>
          </cell>
          <cell r="F89">
            <v>862.31804399999999</v>
          </cell>
          <cell r="G89">
            <v>13.99999997620367</v>
          </cell>
          <cell r="H89">
            <v>2.201043192406325E-3</v>
          </cell>
          <cell r="I89">
            <v>2.1667049026899356E-3</v>
          </cell>
          <cell r="M89" t="str">
            <v xml:space="preserve">NUMERAL </v>
          </cell>
          <cell r="N89" t="str">
            <v>0031</v>
          </cell>
          <cell r="O89" t="str">
            <v>INSTITUTO DE ESTUDIOS DEL MINISTERIO PUBLICO</v>
          </cell>
          <cell r="P89">
            <v>756.41933700000004</v>
          </cell>
          <cell r="Q89">
            <v>756.41933700000004</v>
          </cell>
          <cell r="R89">
            <v>862.31804399999999</v>
          </cell>
          <cell r="S89">
            <v>13.99999997620367</v>
          </cell>
          <cell r="T89">
            <v>13.99999997620367</v>
          </cell>
        </row>
        <row r="90">
          <cell r="B90" t="str">
            <v xml:space="preserve">NUMERAL </v>
          </cell>
          <cell r="C90" t="str">
            <v>0032</v>
          </cell>
          <cell r="D90" t="str">
            <v>FONDO BIENESTAR DE LA CONTRALORIA</v>
          </cell>
          <cell r="E90">
            <v>6832.423331</v>
          </cell>
          <cell r="F90">
            <v>2432.4832540000002</v>
          </cell>
          <cell r="G90">
            <v>-64.397942923656927</v>
          </cell>
          <cell r="H90">
            <v>1.9881113721892725E-2</v>
          </cell>
          <cell r="I90">
            <v>6.1119831932369591E-3</v>
          </cell>
          <cell r="M90" t="str">
            <v xml:space="preserve">NUMERAL </v>
          </cell>
          <cell r="N90" t="str">
            <v>0032</v>
          </cell>
          <cell r="O90" t="str">
            <v>FONDO BIENESTAR DE LA CONTRALORIA</v>
          </cell>
          <cell r="P90">
            <v>6832.423331</v>
          </cell>
          <cell r="Q90">
            <v>6832.423331</v>
          </cell>
          <cell r="R90">
            <v>2432.4832540000002</v>
          </cell>
          <cell r="S90">
            <v>-64.397942923656927</v>
          </cell>
          <cell r="T90">
            <v>-64.397942923656927</v>
          </cell>
        </row>
        <row r="91">
          <cell r="B91" t="str">
            <v xml:space="preserve">NUMERAL </v>
          </cell>
          <cell r="C91" t="str">
            <v>0033</v>
          </cell>
          <cell r="D91" t="str">
            <v>Fondo Salud Fuerzas Militares</v>
          </cell>
          <cell r="E91">
            <v>103410.2988</v>
          </cell>
          <cell r="F91">
            <v>124086.99589999999</v>
          </cell>
          <cell r="G91">
            <v>19.994814191562881</v>
          </cell>
          <cell r="H91">
            <v>0.30090522950029236</v>
          </cell>
          <cell r="I91">
            <v>0.31178740169861957</v>
          </cell>
          <cell r="M91" t="str">
            <v xml:space="preserve">NUMERAL </v>
          </cell>
          <cell r="N91" t="str">
            <v>0033</v>
          </cell>
          <cell r="O91" t="str">
            <v>Fondo Salud Fuerzas Militares</v>
          </cell>
          <cell r="P91">
            <v>103410.2988</v>
          </cell>
          <cell r="Q91">
            <v>103410.2988</v>
          </cell>
          <cell r="R91">
            <v>124086.99589999999</v>
          </cell>
          <cell r="S91">
            <v>19.994814191562881</v>
          </cell>
          <cell r="T91">
            <v>19.994814191562881</v>
          </cell>
        </row>
        <row r="92">
          <cell r="B92" t="str">
            <v xml:space="preserve">NUMERAL </v>
          </cell>
          <cell r="C92" t="str">
            <v>0034</v>
          </cell>
          <cell r="D92" t="str">
            <v>Fondo de Salud Policia</v>
          </cell>
          <cell r="E92">
            <v>129391.606918</v>
          </cell>
          <cell r="F92">
            <v>139621.84988699999</v>
          </cell>
          <cell r="G92">
            <v>7.9064192899955588</v>
          </cell>
          <cell r="H92">
            <v>0.37650612779268372</v>
          </cell>
          <cell r="I92">
            <v>0.350821079041228</v>
          </cell>
          <cell r="M92" t="str">
            <v xml:space="preserve">NUMERAL </v>
          </cell>
          <cell r="N92" t="str">
            <v>0034</v>
          </cell>
          <cell r="O92" t="str">
            <v>Fondo de Salud Policia</v>
          </cell>
          <cell r="P92">
            <v>129391.606918</v>
          </cell>
          <cell r="Q92">
            <v>129391.606918</v>
          </cell>
          <cell r="R92">
            <v>139621.84988699999</v>
          </cell>
          <cell r="S92">
            <v>7.9064192899955588</v>
          </cell>
          <cell r="T92">
            <v>7.9064192899955588</v>
          </cell>
        </row>
        <row r="93">
          <cell r="B93" t="str">
            <v xml:space="preserve">NUMERAL </v>
          </cell>
          <cell r="C93" t="str">
            <v>0035</v>
          </cell>
          <cell r="D93" t="str">
            <v>FONDO DE COMPENSACIÓN AMBIENTAL</v>
          </cell>
          <cell r="E93">
            <v>14128.4</v>
          </cell>
          <cell r="F93">
            <v>18425.099999999999</v>
          </cell>
          <cell r="G93">
            <v>30.411794683049731</v>
          </cell>
          <cell r="H93">
            <v>4.1111083652259309E-2</v>
          </cell>
          <cell r="I93">
            <v>4.6295858912297483E-2</v>
          </cell>
          <cell r="M93" t="str">
            <v xml:space="preserve">NUMERAL </v>
          </cell>
          <cell r="N93" t="str">
            <v>0035</v>
          </cell>
          <cell r="O93" t="str">
            <v>FONDO DE COMPENSACIÓN AMBIENTAL</v>
          </cell>
          <cell r="P93">
            <v>14128.4</v>
          </cell>
          <cell r="Q93">
            <v>14128.4</v>
          </cell>
          <cell r="R93">
            <v>18425.099999999999</v>
          </cell>
          <cell r="S93">
            <v>30.411794683049731</v>
          </cell>
          <cell r="T93">
            <v>30.411794683049731</v>
          </cell>
        </row>
        <row r="94">
          <cell r="B94" t="str">
            <v xml:space="preserve">NUMERAL </v>
          </cell>
          <cell r="C94" t="str">
            <v>0036</v>
          </cell>
          <cell r="D94" t="str">
            <v>PENSIONES EPSA-CVC</v>
          </cell>
          <cell r="E94">
            <v>9215</v>
          </cell>
          <cell r="F94">
            <v>10965</v>
          </cell>
          <cell r="G94">
            <v>18.990775908844281</v>
          </cell>
          <cell r="H94">
            <v>2.6813980058291775E-2</v>
          </cell>
          <cell r="I94">
            <v>2.7551225934911716E-2</v>
          </cell>
          <cell r="M94" t="str">
            <v xml:space="preserve">NUMERAL </v>
          </cell>
          <cell r="N94" t="str">
            <v>0036</v>
          </cell>
          <cell r="O94" t="str">
            <v>PENSIONES EPSA-CVC</v>
          </cell>
          <cell r="P94">
            <v>9215</v>
          </cell>
          <cell r="Q94">
            <v>9215</v>
          </cell>
          <cell r="R94">
            <v>10965</v>
          </cell>
          <cell r="S94">
            <v>18.990775908844281</v>
          </cell>
          <cell r="T94">
            <v>18.990775908844281</v>
          </cell>
        </row>
        <row r="95">
          <cell r="B95" t="str">
            <v xml:space="preserve">NUMERAL </v>
          </cell>
          <cell r="C95" t="str">
            <v>0037</v>
          </cell>
          <cell r="D95" t="str">
            <v xml:space="preserve">DISTRIBUCIÓN  REGALÍAS </v>
          </cell>
          <cell r="E95">
            <v>389.39275300000003</v>
          </cell>
          <cell r="F95">
            <v>0</v>
          </cell>
          <cell r="H95">
            <v>1.1330623455003078E-3</v>
          </cell>
          <cell r="I95">
            <v>0</v>
          </cell>
          <cell r="M95" t="str">
            <v xml:space="preserve">NUMERAL </v>
          </cell>
          <cell r="N95" t="str">
            <v>0037</v>
          </cell>
          <cell r="O95" t="str">
            <v xml:space="preserve">DISTRIBUCIÓN  REGALÍAS </v>
          </cell>
          <cell r="P95">
            <v>389.39275300000003</v>
          </cell>
          <cell r="Q95">
            <v>389.39275300000003</v>
          </cell>
          <cell r="R95">
            <v>0</v>
          </cell>
        </row>
        <row r="96">
          <cell r="B96" t="str">
            <v xml:space="preserve">NUMERAL </v>
          </cell>
          <cell r="C96" t="str">
            <v>0038</v>
          </cell>
          <cell r="D96" t="str">
            <v>FONDO PRESTACIONES SALUD</v>
          </cell>
          <cell r="E96">
            <v>4068.5095569999999</v>
          </cell>
          <cell r="F96">
            <v>0</v>
          </cell>
          <cell r="H96">
            <v>1.1838625515829355E-2</v>
          </cell>
          <cell r="I96">
            <v>0</v>
          </cell>
          <cell r="M96" t="str">
            <v xml:space="preserve">NUMERAL </v>
          </cell>
          <cell r="N96" t="str">
            <v>0038</v>
          </cell>
          <cell r="O96" t="str">
            <v>FONDO PRESTACIONES SALUD</v>
          </cell>
          <cell r="P96">
            <v>4068.5095569999999</v>
          </cell>
          <cell r="Q96">
            <v>4068.5095569999999</v>
          </cell>
          <cell r="R96">
            <v>0</v>
          </cell>
        </row>
        <row r="97">
          <cell r="B97" t="str">
            <v xml:space="preserve">NUMERAL </v>
          </cell>
          <cell r="C97" t="str">
            <v>0039</v>
          </cell>
          <cell r="D97" t="str">
            <v>FONDO DE SEGURIDAD Y CONVIVENCIA CIUDADANA</v>
          </cell>
          <cell r="F97">
            <v>26830</v>
          </cell>
          <cell r="G97" t="str">
            <v>N.C.</v>
          </cell>
          <cell r="H97">
            <v>0</v>
          </cell>
          <cell r="I97">
            <v>6.7414445219669994E-2</v>
          </cell>
          <cell r="M97" t="str">
            <v xml:space="preserve">NUMERAL </v>
          </cell>
          <cell r="N97" t="str">
            <v>0039</v>
          </cell>
          <cell r="O97" t="str">
            <v>FONDO DE SEGURIDAD Y CONVIVENCIA CIUDADANA</v>
          </cell>
          <cell r="R97">
            <v>26830</v>
          </cell>
          <cell r="S97" t="str">
            <v>N.C.</v>
          </cell>
          <cell r="T97" t="str">
            <v>N.C.</v>
          </cell>
        </row>
      </sheetData>
      <sheetData sheetId="1" refreshError="1">
        <row r="98">
          <cell r="V98" t="str">
            <v>COMPOSICION DEL PRESUPUESTO DE RENTAS DE LA NACION</v>
          </cell>
        </row>
        <row r="100">
          <cell r="V100" t="str">
            <v>(Millones de pesos)</v>
          </cell>
        </row>
        <row r="101">
          <cell r="Y101">
            <v>1996</v>
          </cell>
          <cell r="Z101">
            <v>1997</v>
          </cell>
          <cell r="AA101" t="str">
            <v>1998</v>
          </cell>
          <cell r="AC101" t="str">
            <v>1999</v>
          </cell>
        </row>
        <row r="102">
          <cell r="X102" t="str">
            <v>CONCEPTOS</v>
          </cell>
          <cell r="Y102" t="str">
            <v>APROPIACION</v>
          </cell>
          <cell r="Z102" t="str">
            <v>APROPIACION</v>
          </cell>
          <cell r="AA102" t="str">
            <v>APROPIACION</v>
          </cell>
          <cell r="AB102" t="str">
            <v>REESTIMACION</v>
          </cell>
          <cell r="AC102" t="str">
            <v>PROYECTO</v>
          </cell>
          <cell r="AD102" t="str">
            <v>Variación</v>
          </cell>
          <cell r="AH102" t="str">
            <v xml:space="preserve">OBSERVACIONES </v>
          </cell>
        </row>
        <row r="103">
          <cell r="Y103" t="str">
            <v>DEFINITIVA</v>
          </cell>
          <cell r="Z103" t="str">
            <v>DEFINITIVA</v>
          </cell>
          <cell r="AA103" t="str">
            <v>VIGENTE</v>
          </cell>
          <cell r="AB103" t="str">
            <v xml:space="preserve">BASE </v>
          </cell>
          <cell r="AC103" t="str">
            <v>PRESUPUESTO</v>
          </cell>
          <cell r="AE103" t="str">
            <v>%</v>
          </cell>
        </row>
        <row r="104">
          <cell r="Y104" t="str">
            <v>(A)</v>
          </cell>
          <cell r="Z104" t="str">
            <v>(B)</v>
          </cell>
          <cell r="AA104" t="str">
            <v>(1)</v>
          </cell>
          <cell r="AB104" t="str">
            <v>(2)</v>
          </cell>
          <cell r="AC104" t="str">
            <v>(3)</v>
          </cell>
          <cell r="AD104" t="str">
            <v>(F)=(B/A)</v>
          </cell>
          <cell r="AE104" t="str">
            <v>(G)=(D/B)</v>
          </cell>
          <cell r="AF104" t="str">
            <v>(4)=(3/1)</v>
          </cell>
          <cell r="AG104" t="str">
            <v>(5)=(3/2)</v>
          </cell>
        </row>
        <row r="106">
          <cell r="V106" t="str">
            <v>I.</v>
          </cell>
          <cell r="W106" t="str">
            <v>INGRESOS DEL PRESUPUESTO NACIONAL</v>
          </cell>
          <cell r="Y106">
            <v>21505448</v>
          </cell>
          <cell r="Z106">
            <v>26829919.328486998</v>
          </cell>
          <cell r="AA106">
            <v>33672848.488659002</v>
          </cell>
          <cell r="AB106">
            <v>34023067.362811998</v>
          </cell>
          <cell r="AC106">
            <v>39798591.996973999</v>
          </cell>
          <cell r="AD106">
            <v>24.758709181445539</v>
          </cell>
          <cell r="AE106">
            <v>26.810173919112714</v>
          </cell>
          <cell r="AF106">
            <v>18.191937371672438</v>
          </cell>
          <cell r="AG106">
            <v>16.975320221935021</v>
          </cell>
        </row>
        <row r="108">
          <cell r="V108" t="str">
            <v>1.</v>
          </cell>
          <cell r="W108" t="str">
            <v>INGRESOS CORRIENTES</v>
          </cell>
          <cell r="Y108">
            <v>10850547</v>
          </cell>
          <cell r="Z108">
            <v>12987467.563204</v>
          </cell>
          <cell r="AA108">
            <v>14973958.125847001</v>
          </cell>
          <cell r="AB108">
            <v>15324177</v>
          </cell>
          <cell r="AC108">
            <v>17813984</v>
          </cell>
          <cell r="AD108">
            <v>19.69412752374604</v>
          </cell>
          <cell r="AE108">
            <v>17.992032899595834</v>
          </cell>
          <cell r="AF108">
            <v>18.966433926716707</v>
          </cell>
          <cell r="AG108">
            <v>16.24757401327328</v>
          </cell>
        </row>
        <row r="110">
          <cell r="W110" t="str">
            <v>1.1.  INGRESOS TRIBUTARIOS</v>
          </cell>
          <cell r="Y110">
            <v>10489179</v>
          </cell>
          <cell r="Z110">
            <v>12300834.563204</v>
          </cell>
          <cell r="AA110">
            <v>14609453</v>
          </cell>
          <cell r="AB110">
            <v>14749077</v>
          </cell>
          <cell r="AC110">
            <v>17369627.000000462</v>
          </cell>
          <cell r="AD110">
            <v>17.271662188279933</v>
          </cell>
          <cell r="AE110">
            <v>19.903059619381679</v>
          </cell>
          <cell r="AF110">
            <v>18.893068754870313</v>
          </cell>
          <cell r="AG110">
            <v>17.767552505153116</v>
          </cell>
        </row>
        <row r="112">
          <cell r="W112" t="str">
            <v xml:space="preserve">        1.1.1. IMPUESTOS DIRECTOS</v>
          </cell>
          <cell r="Y112">
            <v>4232697</v>
          </cell>
          <cell r="Z112">
            <v>4707023.763204</v>
          </cell>
          <cell r="AA112">
            <v>5845082</v>
          </cell>
          <cell r="AB112">
            <v>5393900</v>
          </cell>
          <cell r="AC112">
            <v>6285366</v>
          </cell>
          <cell r="AD112">
            <v>11.206253677123602</v>
          </cell>
          <cell r="AE112">
            <v>14.59258060614621</v>
          </cell>
          <cell r="AF112">
            <v>7.5325547186506636</v>
          </cell>
          <cell r="AG112">
            <v>16.527299356680693</v>
          </cell>
        </row>
        <row r="113">
          <cell r="X113" t="str">
            <v>IMPUESTO SOBRE LA RENTA Y COMPLEMENTARIOS</v>
          </cell>
          <cell r="Y113">
            <v>4232697</v>
          </cell>
          <cell r="Z113">
            <v>4707023.763204</v>
          </cell>
          <cell r="AA113">
            <v>5845082</v>
          </cell>
          <cell r="AB113">
            <v>5393900</v>
          </cell>
          <cell r="AC113">
            <v>6285366</v>
          </cell>
          <cell r="AD113">
            <v>11.206253677123602</v>
          </cell>
          <cell r="AE113">
            <v>14.59258060614621</v>
          </cell>
          <cell r="AF113">
            <v>7.5325547186506636</v>
          </cell>
          <cell r="AG113">
            <v>16.527299356680693</v>
          </cell>
          <cell r="AH113" t="str">
            <v>Base 1996 para evitar efectos 1997 Reforma Tributaria Ley 223/95 (aplicable año gravable 1996)</v>
          </cell>
        </row>
        <row r="115">
          <cell r="W115" t="str">
            <v xml:space="preserve">        1.1.2. IMPUESTOS INDIRECTOS</v>
          </cell>
          <cell r="Y115">
            <v>6256482</v>
          </cell>
          <cell r="Z115">
            <v>7593810.7999999998</v>
          </cell>
          <cell r="AA115">
            <v>8764371</v>
          </cell>
          <cell r="AB115">
            <v>9355177</v>
          </cell>
          <cell r="AC115">
            <v>11084261.000000462</v>
          </cell>
          <cell r="AD115">
            <v>21.375092264310823</v>
          </cell>
          <cell r="AE115">
            <v>23.194760132817649</v>
          </cell>
          <cell r="AF115">
            <v>26.469554974343978</v>
          </cell>
          <cell r="AG115">
            <v>18.482643353519258</v>
          </cell>
        </row>
        <row r="116">
          <cell r="X116" t="str">
            <v>IMPUESTOS SOBRE ADUANAS Y RECARGOS</v>
          </cell>
          <cell r="Y116">
            <v>1103959</v>
          </cell>
          <cell r="Z116">
            <v>1054257.8</v>
          </cell>
          <cell r="AA116">
            <v>1216470</v>
          </cell>
          <cell r="AB116">
            <v>1444000</v>
          </cell>
          <cell r="AC116">
            <v>1646430.000000464</v>
          </cell>
          <cell r="AD116">
            <v>-4.5020874869447063</v>
          </cell>
          <cell r="AE116">
            <v>36.968396155096016</v>
          </cell>
          <cell r="AF116">
            <v>35.344891366039775</v>
          </cell>
          <cell r="AG116">
            <v>14.018698060973955</v>
          </cell>
          <cell r="AH116" t="str">
            <v>Recaudo 1997 por tasas de devaluación y de importaciones.</v>
          </cell>
        </row>
        <row r="117">
          <cell r="X117" t="str">
            <v>IMPUESTO A LAS VENTAS</v>
          </cell>
          <cell r="Y117">
            <v>4514989</v>
          </cell>
          <cell r="Z117">
            <v>5721246</v>
          </cell>
          <cell r="AA117">
            <v>6695019</v>
          </cell>
          <cell r="AB117">
            <v>6887200</v>
          </cell>
          <cell r="AC117">
            <v>8117919</v>
          </cell>
          <cell r="AD117">
            <v>26.716720683040428</v>
          </cell>
          <cell r="AE117">
            <v>20.379371906049837</v>
          </cell>
          <cell r="AF117">
            <v>21.253113695420424</v>
          </cell>
          <cell r="AG117">
            <v>17.86965675455918</v>
          </cell>
          <cell r="AH117" t="str">
            <v>Interno = recaudo enero-junio/98 por estacionalidad promedio 1994-1997 y 1999 por PIB nominal. Externo = recaudo 1997 por tasas de devaluación y de importaciones.</v>
          </cell>
        </row>
        <row r="118">
          <cell r="X118" t="str">
            <v>INTERNAS</v>
          </cell>
          <cell r="Y118">
            <v>3955534</v>
          </cell>
          <cell r="Z118">
            <v>3955534</v>
          </cell>
          <cell r="AA118">
            <v>4687973</v>
          </cell>
          <cell r="AB118">
            <v>4549400</v>
          </cell>
          <cell r="AC118">
            <v>5452433</v>
          </cell>
          <cell r="AD118">
            <v>0</v>
          </cell>
          <cell r="AE118">
            <v>15.013548107537433</v>
          </cell>
          <cell r="AF118">
            <v>16.306834531683535</v>
          </cell>
          <cell r="AG118">
            <v>19.849496636919149</v>
          </cell>
        </row>
        <row r="119">
          <cell r="X119" t="str">
            <v>EXTERNAS</v>
          </cell>
          <cell r="Y119">
            <v>1765712</v>
          </cell>
          <cell r="Z119">
            <v>1765712</v>
          </cell>
          <cell r="AA119">
            <v>2007046</v>
          </cell>
          <cell r="AB119">
            <v>2337800</v>
          </cell>
          <cell r="AC119">
            <v>2665486</v>
          </cell>
          <cell r="AD119">
            <v>0</v>
          </cell>
          <cell r="AE119">
            <v>32.399847766793229</v>
          </cell>
          <cell r="AF119">
            <v>32.806422971870106</v>
          </cell>
          <cell r="AG119">
            <v>14.016853451963375</v>
          </cell>
        </row>
        <row r="120">
          <cell r="X120" t="str">
            <v>IMPUESTO A LA GASOLINA Y ACPM</v>
          </cell>
          <cell r="Y120">
            <v>606677</v>
          </cell>
          <cell r="Z120">
            <v>798000</v>
          </cell>
          <cell r="AA120">
            <v>690540</v>
          </cell>
          <cell r="AB120">
            <v>691000</v>
          </cell>
          <cell r="AC120">
            <v>917324</v>
          </cell>
          <cell r="AD120">
            <v>31.536221086344128</v>
          </cell>
          <cell r="AE120">
            <v>-13.408521303258148</v>
          </cell>
          <cell r="AF120">
            <v>32.841544298664815</v>
          </cell>
          <cell r="AG120">
            <v>32.753111432706227</v>
          </cell>
          <cell r="AH120" t="str">
            <v xml:space="preserve">Incluye ajuste precio Ley 383/97 ($50 por año a precios 1997 hasta 2001) </v>
          </cell>
        </row>
        <row r="121">
          <cell r="X121" t="str">
            <v>IMPUESTO 5% PASAJES INTERNACIONALES</v>
          </cell>
          <cell r="AA121">
            <v>8559.2999999999993</v>
          </cell>
          <cell r="AB121">
            <v>0</v>
          </cell>
          <cell r="AC121">
            <v>0</v>
          </cell>
          <cell r="AD121" t="e">
            <v>#DIV/0!</v>
          </cell>
        </row>
        <row r="122">
          <cell r="X122" t="str">
            <v>IMPUESTO DE TIMBRE NACIONAL</v>
          </cell>
          <cell r="AA122">
            <v>138600</v>
          </cell>
          <cell r="AB122">
            <v>310100</v>
          </cell>
          <cell r="AC122">
            <v>371608</v>
          </cell>
          <cell r="AD122" t="e">
            <v>#DIV/0!</v>
          </cell>
          <cell r="AE122" t="e">
            <v>#DIV/0!</v>
          </cell>
          <cell r="AF122">
            <v>168.11544011544009</v>
          </cell>
          <cell r="AG122">
            <v>19.834891970332148</v>
          </cell>
        </row>
        <row r="123">
          <cell r="X123" t="str">
            <v>IMPUESTO DE TIMBRE NACIONAL SOBRE SALIDAS AL EXT.</v>
          </cell>
          <cell r="Y123">
            <v>18855</v>
          </cell>
          <cell r="Z123">
            <v>18855</v>
          </cell>
          <cell r="AA123">
            <v>13405.7</v>
          </cell>
          <cell r="AB123">
            <v>21100</v>
          </cell>
          <cell r="AC123">
            <v>27666</v>
          </cell>
          <cell r="AD123">
            <v>0</v>
          </cell>
          <cell r="AE123">
            <v>11.906656059400689</v>
          </cell>
          <cell r="AF123">
            <v>106.37490022900704</v>
          </cell>
          <cell r="AG123">
            <v>31.118483412322284</v>
          </cell>
        </row>
        <row r="124">
          <cell r="X124" t="str">
            <v>IMPUESTO AL ORO Y AL PLATINO</v>
          </cell>
          <cell r="Y124">
            <v>1452</v>
          </cell>
          <cell r="Z124">
            <v>1452</v>
          </cell>
          <cell r="AA124">
            <v>1777</v>
          </cell>
          <cell r="AB124">
            <v>1777</v>
          </cell>
          <cell r="AC124">
            <v>3314</v>
          </cell>
          <cell r="AD124">
            <v>0</v>
          </cell>
          <cell r="AE124">
            <v>22.382920110192828</v>
          </cell>
          <cell r="AF124">
            <v>86.494091164884651</v>
          </cell>
          <cell r="AG124">
            <v>86.494091164884651</v>
          </cell>
        </row>
        <row r="125">
          <cell r="X125" t="str">
            <v>OTROS IMPUESTOS TRIBUTARIOS</v>
          </cell>
          <cell r="Y125">
            <v>30857</v>
          </cell>
          <cell r="Z125">
            <v>20307</v>
          </cell>
          <cell r="AA125">
            <v>162342</v>
          </cell>
          <cell r="AB125">
            <v>332977</v>
          </cell>
          <cell r="AC125">
            <v>402588</v>
          </cell>
          <cell r="AD125">
            <v>-34.189973101727325</v>
          </cell>
          <cell r="AE125">
            <v>1539.7153690845521</v>
          </cell>
          <cell r="AF125">
            <v>147.98758177181503</v>
          </cell>
          <cell r="AG125">
            <v>20.90564813785938</v>
          </cell>
          <cell r="AH125" t="str">
            <v>1996/97 5% pasajes  internacionales, Timbre Nacional (Reforma Ley 383/97 del 0.5% al 1%), Oro y Platino. 1998 por estacionalidad recaudo 1997 y crece PIB nominal.</v>
          </cell>
        </row>
        <row r="127">
          <cell r="W127" t="str">
            <v>1.2</v>
          </cell>
          <cell r="X127" t="str">
            <v>INGRESOS NO TRIBUTARIOS</v>
          </cell>
          <cell r="Y127">
            <v>361368</v>
          </cell>
          <cell r="Z127">
            <v>686633</v>
          </cell>
          <cell r="AA127">
            <v>364505.12584699999</v>
          </cell>
          <cell r="AB127">
            <v>575100</v>
          </cell>
          <cell r="AC127">
            <v>444356.99999953806</v>
          </cell>
          <cell r="AD127">
            <v>90.009353346173441</v>
          </cell>
          <cell r="AE127">
            <v>-16.243466305872278</v>
          </cell>
          <cell r="AF127">
            <v>21.906927637021955</v>
          </cell>
          <cell r="AG127">
            <v>-22.733959311504425</v>
          </cell>
        </row>
        <row r="128">
          <cell r="X128" t="str">
            <v>CONTRIBUCION ESPECIAL POR EXPLOTACION O EXPORTACION</v>
          </cell>
        </row>
        <row r="129">
          <cell r="X129" t="str">
            <v>DE PETROLEO CRUDO, GAS LIBRE, CARBON Y FERRONIQUEL</v>
          </cell>
          <cell r="Y129">
            <v>213938</v>
          </cell>
          <cell r="Z129">
            <v>336228</v>
          </cell>
          <cell r="AA129">
            <v>164620</v>
          </cell>
          <cell r="AB129">
            <v>75600</v>
          </cell>
          <cell r="AC129">
            <v>34844.999999538064</v>
          </cell>
          <cell r="AD129">
            <v>57.161420598491141</v>
          </cell>
          <cell r="AE129">
            <v>-77.515257503836679</v>
          </cell>
          <cell r="AF129">
            <v>-78.833070101118906</v>
          </cell>
          <cell r="AG129">
            <v>-53.908730159341189</v>
          </cell>
          <cell r="AH129" t="str">
            <v>Considera la reducción establecida Art 52  Ley 223/95</v>
          </cell>
        </row>
        <row r="130">
          <cell r="X130" t="str">
            <v>OTROS NO TRIBUTARIOS</v>
          </cell>
          <cell r="Y130">
            <v>147430</v>
          </cell>
          <cell r="Z130">
            <v>350405</v>
          </cell>
          <cell r="AA130">
            <v>199885.12584699999</v>
          </cell>
          <cell r="AB130">
            <v>499500</v>
          </cell>
          <cell r="AC130">
            <v>409512</v>
          </cell>
          <cell r="AD130">
            <v>137.6755070202808</v>
          </cell>
          <cell r="AE130">
            <v>42.549335768610597</v>
          </cell>
          <cell r="AF130">
            <v>104.87367344854701</v>
          </cell>
          <cell r="AG130">
            <v>-18.015615615615623</v>
          </cell>
        </row>
        <row r="131">
          <cell r="X131" t="str">
            <v xml:space="preserve">      Extensión Comncesión Telefonia Celular</v>
          </cell>
          <cell r="Z131">
            <v>141241.1</v>
          </cell>
        </row>
        <row r="132">
          <cell r="X132" t="str">
            <v xml:space="preserve">      Fondo de Superávit de la Nación </v>
          </cell>
          <cell r="Y132">
            <v>91322</v>
          </cell>
          <cell r="Z132">
            <v>96904.9</v>
          </cell>
          <cell r="AA132">
            <v>138439.12584699999</v>
          </cell>
          <cell r="AB132">
            <v>138439.12584699999</v>
          </cell>
          <cell r="AC132">
            <v>151520</v>
          </cell>
          <cell r="AD132">
            <v>6.1134228334902785</v>
          </cell>
          <cell r="AE132">
            <v>42.860810802136925</v>
          </cell>
          <cell r="AF132">
            <v>9.4488274705351039</v>
          </cell>
          <cell r="AG132">
            <v>9.4488274705351039</v>
          </cell>
          <cell r="AH132" t="str">
            <v>Octavas Concesión Telefonía Móvil Celular (1995 - 2002)</v>
          </cell>
        </row>
        <row r="133">
          <cell r="X133" t="str">
            <v xml:space="preserve">      Concesión Larga Distancia</v>
          </cell>
          <cell r="AB133">
            <v>300000</v>
          </cell>
          <cell r="AC133">
            <v>179902</v>
          </cell>
          <cell r="AG133">
            <v>-40.032666666666671</v>
          </cell>
          <cell r="AH133" t="str">
            <v>Para 1998 US$225 millones, en 1999 y 2000 restantes US$225 millones por parte iguales</v>
          </cell>
        </row>
        <row r="134">
          <cell r="X134" t="str">
            <v xml:space="preserve">      Resto</v>
          </cell>
          <cell r="Y134">
            <v>56108</v>
          </cell>
          <cell r="Z134">
            <v>112259</v>
          </cell>
          <cell r="AA134">
            <v>61446</v>
          </cell>
          <cell r="AB134">
            <v>61060.874153000012</v>
          </cell>
          <cell r="AC134">
            <v>78090</v>
          </cell>
          <cell r="AD134">
            <v>100.07663791259715</v>
          </cell>
          <cell r="AE134">
            <v>-45.607145838640996</v>
          </cell>
          <cell r="AF134">
            <v>27.087198515769948</v>
          </cell>
          <cell r="AG134">
            <v>27.888768517021511</v>
          </cell>
          <cell r="AH134" t="str">
            <v>Hasta 1998 5% contratos Obras Públicas Ley 104/93(en 1999 pasa a Fondo de Seguridad y Convivencia Ciudadana Ley 418/97), Concesión Sociedades Portuarias (por variación PIB).</v>
          </cell>
        </row>
        <row r="136">
          <cell r="V136" t="str">
            <v>2.</v>
          </cell>
          <cell r="W136" t="str">
            <v>RECURSOS DE CAPITAL</v>
          </cell>
          <cell r="Y136">
            <v>9454718</v>
          </cell>
          <cell r="Z136">
            <v>12013036.820606999</v>
          </cell>
          <cell r="AA136">
            <v>16207486.153754</v>
          </cell>
          <cell r="AB136">
            <v>16207486.153754</v>
          </cell>
          <cell r="AC136">
            <v>19182007.865153998</v>
          </cell>
          <cell r="AD136">
            <v>71.422205863294906</v>
          </cell>
          <cell r="AE136">
            <v>34.915811844944145</v>
          </cell>
          <cell r="AF136">
            <v>18.352764168248491</v>
          </cell>
          <cell r="AG136">
            <v>18.352764168248491</v>
          </cell>
        </row>
        <row r="138">
          <cell r="W138" t="str">
            <v>2.5. RECURSOS DEL CREDITO EXTERNO</v>
          </cell>
          <cell r="Y138">
            <v>2041518</v>
          </cell>
          <cell r="Z138">
            <v>1797729.030367</v>
          </cell>
          <cell r="AA138">
            <v>3352906.6945369998</v>
          </cell>
          <cell r="AB138">
            <v>3352906.6945369998</v>
          </cell>
          <cell r="AC138">
            <v>5299805.9730000002</v>
          </cell>
          <cell r="AD138">
            <v>-11.941553767000823</v>
          </cell>
          <cell r="AE138">
            <v>86.507901797220015</v>
          </cell>
          <cell r="AF138">
            <v>58.066014232819143</v>
          </cell>
          <cell r="AG138">
            <v>58.066014232819143</v>
          </cell>
        </row>
        <row r="139">
          <cell r="W139" t="str">
            <v>2.6. RECURSOS DEL CREDITO INTERNO</v>
          </cell>
          <cell r="Y139">
            <v>3928505</v>
          </cell>
          <cell r="Z139">
            <v>7590793.914806</v>
          </cell>
          <cell r="AA139">
            <v>10343544.959217001</v>
          </cell>
          <cell r="AB139">
            <v>10343544.959217001</v>
          </cell>
          <cell r="AC139">
            <v>9735498.8921539988</v>
          </cell>
          <cell r="AD139">
            <v>93.223475973837381</v>
          </cell>
          <cell r="AE139">
            <v>36.264336448941179</v>
          </cell>
          <cell r="AF139">
            <v>-5.8785075084067717</v>
          </cell>
          <cell r="AG139">
            <v>-5.8785075084067717</v>
          </cell>
        </row>
        <row r="140">
          <cell r="W140" t="str">
            <v>2.7. OTROS RECURSOS DE CAPITAL</v>
          </cell>
          <cell r="Y140">
            <v>3484695</v>
          </cell>
          <cell r="Z140">
            <v>2624513.875434</v>
          </cell>
          <cell r="AA140">
            <v>2511034.5</v>
          </cell>
          <cell r="AB140">
            <v>2511034.5</v>
          </cell>
          <cell r="AC140">
            <v>4146703</v>
          </cell>
          <cell r="AD140">
            <v>-24.684545550356628</v>
          </cell>
          <cell r="AE140">
            <v>-4.3238245564708455</v>
          </cell>
          <cell r="AF140">
            <v>65.13922847336427</v>
          </cell>
          <cell r="AG140">
            <v>65.13922847336427</v>
          </cell>
          <cell r="AH140" t="str">
            <v>Donaciones en cada año, Enajenación activos (plan), excedentes Financieros Entidades Descentralizadas, Rendimientos Financieros, Recuperación de Cartera, Recursos no apropiados (según Plan Financiero). En 1999 superávit Nación 1997 (Contaduría)</v>
          </cell>
        </row>
        <row r="142">
          <cell r="V142">
            <v>3</v>
          </cell>
          <cell r="W142" t="str">
            <v>RENTAS PARAFISCALES</v>
          </cell>
          <cell r="Y142">
            <v>122554</v>
          </cell>
          <cell r="Z142">
            <v>336368.21808000002</v>
          </cell>
          <cell r="AA142">
            <v>742831.93553000002</v>
          </cell>
          <cell r="AB142">
            <v>742831.93553000002</v>
          </cell>
          <cell r="AC142">
            <v>495721.437148</v>
          </cell>
          <cell r="AD142">
            <v>174.46531168301323</v>
          </cell>
          <cell r="AE142">
            <v>120.83891866184837</v>
          </cell>
          <cell r="AF142">
            <v>-33.266003595509154</v>
          </cell>
          <cell r="AG142">
            <v>-33.266003595509154</v>
          </cell>
          <cell r="AH142" t="str">
            <v xml:space="preserve">Fondo de Prestaciones Sociales del Magisterio </v>
          </cell>
        </row>
        <row r="144">
          <cell r="V144">
            <v>4</v>
          </cell>
          <cell r="W144" t="str">
            <v>FONDOS ESPECIALES</v>
          </cell>
          <cell r="Y144">
            <v>1077629</v>
          </cell>
          <cell r="Z144">
            <v>1493046.7265959999</v>
          </cell>
          <cell r="AA144">
            <v>1748572.2735279996</v>
          </cell>
          <cell r="AB144">
            <v>1748572.2735279996</v>
          </cell>
          <cell r="AC144">
            <v>2306878.6946720001</v>
          </cell>
          <cell r="AD144">
            <v>38.549234160921799</v>
          </cell>
          <cell r="AE144">
            <v>17.114370393120449</v>
          </cell>
          <cell r="AF144">
            <v>31.929273361834554</v>
          </cell>
          <cell r="AG144">
            <v>31.929273361834554</v>
          </cell>
          <cell r="AH144" t="str">
            <v>Estimación ingresos definidos por la Ley para prestación servicio público específico que corresponde.</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OR.LEY21"/>
      <sheetName val="Hoja2"/>
      <sheetName val="ART.86 LEY 30-92"/>
      <sheetName val="JUNTA CENTRAL DE CONTADORES"/>
      <sheetName val="CALCULO LEY 21 1982 =&gt; 1998 "/>
      <sheetName val="CALCULO LEY 21 DE 1982 =&gt; 1999"/>
      <sheetName val="ART.87 LEY 30 1992"/>
      <sheetName val="NORMAS LEGALES"/>
      <sheetName val="JUSTIFICACION DIFERENCIAS"/>
      <sheetName val="GASTOS"/>
      <sheetName val="GASTOS (2)"/>
      <sheetName val="APOR.LEY21-2000 Y 2001"/>
      <sheetName val="JUNTA CENT.CONTAD. 2000 Y 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GOBLOCAL"/>
      <sheetName val="BDEMPLOCAL"/>
      <sheetName val="RESUMENLG"/>
      <sheetName val="RESUMENLE"/>
      <sheetName val="PRES NETO"/>
      <sheetName val="SUPUESTOS"/>
      <sheetName val="Resumen x Entidades"/>
      <sheetName val="DEUDA EXTERNA"/>
      <sheetName val="RESUMEN FMI"/>
      <sheetName val="FMI DEPARTAMENTOS"/>
      <sheetName val=" FMI MUNICIPIOS"/>
      <sheetName val="FMI FNR"/>
      <sheetName val="FMI EMPRESAS"/>
      <sheetName val="RESUMEN"/>
      <sheetName val="MUNICIPIOS"/>
      <sheetName val="DEPARTAM"/>
      <sheetName val="LOTERIAS"/>
      <sheetName val="LICORERA"/>
      <sheetName val="EMPTERRI"/>
      <sheetName val="FNR"/>
      <sheetName val="EJEC. REGALIAS"/>
      <sheetName val="REZAGO FNR"/>
      <sheetName val="DEUDA FLOTANTE-FNR"/>
      <sheetName val="FNR-PROYECCIONES"/>
      <sheetName val="FNR-LEY 756"/>
      <sheetName val="VERIFICACION NETEO2"/>
      <sheetName val="PIB"/>
      <sheetName val="SISTEMA GRAL.PART."/>
      <sheetName val="COMPARATIVO FMI-PF"/>
      <sheetName val="COMPARATIVO FMI-PF $MM"/>
      <sheetName val="FNR-PROYECCIONES MFMP"/>
      <sheetName val="ModDeuda"/>
      <sheetName val="RESUMEN CON PLAN"/>
      <sheetName val="TRANSFERENCIAS"/>
      <sheetName val="PROY. REGALIAS"/>
      <sheetName val="DPTOS"/>
      <sheetName val="MPIOS"/>
      <sheetName val="EJCLOTERIA"/>
      <sheetName val="EJLICOR"/>
      <sheetName val="EEPP"/>
      <sheetName val="Prepag deud Faep art133 ley633"/>
      <sheetName val="DF FNR (C. Zambrano)"/>
      <sheetName val="FNR Dic 5 (C.Zam)"/>
      <sheetName val="FNR Dic 13-02 (C.Zam)"/>
      <sheetName val="FNR Dic 18-02(C.Zam)"/>
      <sheetName val="FNR Dic 20-02(C.Zam)"/>
      <sheetName val="DEUDA FLOTANTE-FNR SIN FAEP"/>
      <sheetName val="DEUDA FLOTANTE-INV."/>
      <sheetName val=" FAEP Mensual "/>
      <sheetName val="DEUDA FLOTANTE-INV. sin faep"/>
      <sheetName val="cuadros"/>
      <sheetName val="Hoja1"/>
      <sheetName val="faep (2)"/>
      <sheetName val="DEUDA FLOTANTE fnr"/>
      <sheetName val="FNR reducc"/>
      <sheetName val="FMI redu2)"/>
      <sheetName val="EJECUCION FAEP"/>
      <sheetName val="RESUMEN FMI DEPARTAMENTOS"/>
      <sheetName val="RESUMEN FMI MUNICIPIOS"/>
      <sheetName val="RESUMEN FMI FNR"/>
    </sheetNames>
    <sheetDataSet>
      <sheetData sheetId="0"/>
      <sheetData sheetId="1"/>
      <sheetData sheetId="2"/>
      <sheetData sheetId="3"/>
      <sheetData sheetId="4"/>
      <sheetData sheetId="5" refreshError="1">
        <row r="5">
          <cell r="H5">
            <v>1723039</v>
          </cell>
          <cell r="I5">
            <v>2221237</v>
          </cell>
          <cell r="J5">
            <v>2774822.6</v>
          </cell>
          <cell r="K5">
            <v>3834351</v>
          </cell>
          <cell r="L5">
            <v>4510141</v>
          </cell>
          <cell r="M5">
            <v>5343752.2535651531</v>
          </cell>
          <cell r="N5">
            <v>7133444.1770399995</v>
          </cell>
          <cell r="O5">
            <v>6564252.3579074843</v>
          </cell>
        </row>
        <row r="6">
          <cell r="H6">
            <v>649239</v>
          </cell>
          <cell r="I6">
            <v>830500</v>
          </cell>
          <cell r="J6">
            <v>1065400</v>
          </cell>
          <cell r="K6">
            <v>1552869</v>
          </cell>
          <cell r="L6">
            <v>1947027</v>
          </cell>
          <cell r="M6">
            <v>2478300</v>
          </cell>
          <cell r="N6">
            <v>3141605</v>
          </cell>
          <cell r="O6">
            <v>2806557.6908411798</v>
          </cell>
        </row>
        <row r="7">
          <cell r="H7">
            <v>1073800</v>
          </cell>
          <cell r="I7">
            <v>1390737</v>
          </cell>
          <cell r="J7">
            <v>1709422.6</v>
          </cell>
          <cell r="K7">
            <v>2281482</v>
          </cell>
          <cell r="L7">
            <v>2563114</v>
          </cell>
          <cell r="M7">
            <v>2865452.2535651531</v>
          </cell>
          <cell r="N7">
            <v>3991839.17704</v>
          </cell>
          <cell r="O7">
            <v>3757694.6670663045</v>
          </cell>
        </row>
        <row r="19">
          <cell r="H19">
            <v>51128866.875231937</v>
          </cell>
          <cell r="I19">
            <v>67532862</v>
          </cell>
          <cell r="J19">
            <v>84439109</v>
          </cell>
          <cell r="K19">
            <v>100711389</v>
          </cell>
          <cell r="L19">
            <v>121707501</v>
          </cell>
          <cell r="M19">
            <v>140953206</v>
          </cell>
          <cell r="N19">
            <v>151565005</v>
          </cell>
          <cell r="O19">
            <v>174896258</v>
          </cell>
        </row>
        <row r="20">
          <cell r="H20">
            <v>0.30980473665469543</v>
          </cell>
          <cell r="I20">
            <v>0.32083627366118206</v>
          </cell>
          <cell r="J20">
            <v>0.25034104137330959</v>
          </cell>
          <cell r="K20">
            <v>0.24199999999999999</v>
          </cell>
          <cell r="L20">
            <v>0.20847803022555866</v>
          </cell>
          <cell r="M20">
            <v>0.15813080411535196</v>
          </cell>
          <cell r="N20">
            <v>7.5285971147048603E-2</v>
          </cell>
          <cell r="O20">
            <v>0.15393561990117699</v>
          </cell>
        </row>
        <row r="74">
          <cell r="H74">
            <v>117206.25</v>
          </cell>
          <cell r="I74">
            <v>116184.52499999999</v>
          </cell>
          <cell r="J74">
            <v>199789.75</v>
          </cell>
          <cell r="K74">
            <v>276188.16386410111</v>
          </cell>
          <cell r="L74">
            <v>282760.375</v>
          </cell>
          <cell r="M74">
            <v>322810</v>
          </cell>
          <cell r="N74">
            <v>395770</v>
          </cell>
          <cell r="O74">
            <v>806844.18430454994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2castigo"/>
      <sheetName val="Hoja1"/>
      <sheetName val="CUA1-3"/>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s>
    <sheetDataSet>
      <sheetData sheetId="0" refreshError="1"/>
      <sheetData sheetId="1" refreshError="1"/>
      <sheetData sheetId="2"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03 Mil Corr "/>
      <sheetName val="edu_sal_agua_milcte"/>
      <sheetName val="Educación"/>
      <sheetName val="Salud"/>
      <sheetName val="Hoja2"/>
      <sheetName val="Hoja3"/>
      <sheetName val="Agua"/>
      <sheetName val="94_03 Mil Corr "/>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SOCIAL"/>
      <sheetName val="PRES NETO"/>
      <sheetName val="RESUMEN"/>
      <sheetName val="SUPUESTOS"/>
      <sheetName val="TRANSFERENCIAS"/>
      <sheetName val="ICBF"/>
      <sheetName val="SENA"/>
      <sheetName val="SENA2%YPORTAF"/>
      <sheetName val="REZAGOS"/>
      <sheetName val="ICBF3%"/>
      <sheetName val="SENA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2014"/>
      <sheetName val="2015"/>
      <sheetName val="Gastos_Inversión_2012"/>
      <sheetName val="Fuentes Inversión"/>
      <sheetName val="POAI.2012-2015"/>
      <sheetName val="Marco.Fiscal.Med.Plaz.2012-2015"/>
      <sheetName val="Balance Financiero Minhacienda"/>
      <sheetName val="POAI.2012-2015 xxx"/>
    </sheetNames>
    <sheetDataSet>
      <sheetData sheetId="0">
        <row r="2">
          <cell r="I2">
            <v>1755626634</v>
          </cell>
        </row>
      </sheetData>
      <sheetData sheetId="1">
        <row r="2">
          <cell r="AE2">
            <v>66725221375</v>
          </cell>
        </row>
      </sheetData>
      <sheetData sheetId="2">
        <row r="2">
          <cell r="AE2">
            <v>68726978016</v>
          </cell>
        </row>
      </sheetData>
      <sheetData sheetId="3">
        <row r="2">
          <cell r="AE2">
            <v>70788787357</v>
          </cell>
        </row>
      </sheetData>
      <sheetData sheetId="4"/>
      <sheetData sheetId="5"/>
      <sheetData sheetId="6"/>
      <sheetData sheetId="7"/>
      <sheetData sheetId="8"/>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ENCIAS"/>
      <sheetName val="RESUOPE"/>
      <sheetName val="APRyPAGO-TRANSFE"/>
      <sheetName val="FINANCIAMIENTO"/>
      <sheetName val="DETALLE-INV"/>
    </sheetNames>
    <sheetDataSet>
      <sheetData sheetId="0" refreshError="1"/>
      <sheetData sheetId="1" refreshError="1">
        <row r="9">
          <cell r="B9" t="str">
            <v>Cuadro 2b</v>
          </cell>
        </row>
        <row r="10">
          <cell r="B10" t="str">
            <v xml:space="preserve">SECTOR PUBLICO NO FINANCIERO </v>
          </cell>
        </row>
        <row r="12">
          <cell r="B12" t="str">
            <v>(MILLONES DE PESOS)</v>
          </cell>
        </row>
        <row r="13">
          <cell r="C13" t="str">
            <v>ESCENARIO CON AJUSTES</v>
          </cell>
          <cell r="H13" t="str">
            <v/>
          </cell>
        </row>
        <row r="14">
          <cell r="B14" t="str">
            <v>GOBIERNO NACIONAL</v>
          </cell>
        </row>
        <row r="15">
          <cell r="Y15">
            <v>36504.734179629631</v>
          </cell>
        </row>
        <row r="17">
          <cell r="W17" t="str">
            <v>PORCENTAJE DEL PIB</v>
          </cell>
        </row>
        <row r="18">
          <cell r="E18" t="str">
            <v>CONCEPTOS</v>
          </cell>
          <cell r="H18" t="str">
            <v xml:space="preserve">        1993</v>
          </cell>
          <cell r="I18" t="str">
            <v xml:space="preserve">        1994</v>
          </cell>
          <cell r="J18" t="str">
            <v xml:space="preserve">        1995</v>
          </cell>
          <cell r="K18" t="str">
            <v xml:space="preserve">        1996</v>
          </cell>
          <cell r="L18" t="str">
            <v xml:space="preserve">        1997</v>
          </cell>
          <cell r="M18" t="str">
            <v xml:space="preserve">        1998</v>
          </cell>
          <cell r="N18" t="str">
            <v xml:space="preserve">        1999</v>
          </cell>
          <cell r="O18" t="str">
            <v xml:space="preserve">        2000</v>
          </cell>
          <cell r="P18">
            <v>2001</v>
          </cell>
          <cell r="Q18">
            <v>2002</v>
          </cell>
          <cell r="R18">
            <v>2003</v>
          </cell>
          <cell r="S18">
            <v>2004</v>
          </cell>
          <cell r="T18">
            <v>2005</v>
          </cell>
          <cell r="U18" t="str">
            <v xml:space="preserve">        1993</v>
          </cell>
          <cell r="V18" t="str">
            <v xml:space="preserve">        1994</v>
          </cell>
          <cell r="W18" t="str">
            <v xml:space="preserve">        1995</v>
          </cell>
          <cell r="X18" t="str">
            <v xml:space="preserve">        1996</v>
          </cell>
          <cell r="Y18" t="str">
            <v xml:space="preserve">        1997</v>
          </cell>
          <cell r="Z18" t="str">
            <v xml:space="preserve">        1998</v>
          </cell>
          <cell r="AA18" t="str">
            <v xml:space="preserve">        1999</v>
          </cell>
          <cell r="AB18" t="str">
            <v xml:space="preserve">        2000</v>
          </cell>
        </row>
        <row r="21">
          <cell r="C21" t="str">
            <v xml:space="preserve"> 1.</v>
          </cell>
          <cell r="D21" t="str">
            <v xml:space="preserve"> INGRESOS TOTALES</v>
          </cell>
          <cell r="H21">
            <v>5907600.3079954172</v>
          </cell>
          <cell r="I21">
            <v>7700800</v>
          </cell>
          <cell r="J21">
            <v>9523699.209999999</v>
          </cell>
          <cell r="K21">
            <v>12048768</v>
          </cell>
          <cell r="L21">
            <v>15287795.690864535</v>
          </cell>
          <cell r="M21">
            <v>16883418</v>
          </cell>
          <cell r="N21">
            <v>20104461</v>
          </cell>
          <cell r="O21">
            <v>22954281.374545835</v>
          </cell>
          <cell r="P21">
            <v>26884218.527028114</v>
          </cell>
          <cell r="Q21">
            <v>30400205.534018699</v>
          </cell>
          <cell r="R21">
            <v>33447283.291050017</v>
          </cell>
          <cell r="S21">
            <v>36346372.138895892</v>
          </cell>
          <cell r="T21">
            <v>40860117.549001813</v>
          </cell>
          <cell r="U21">
            <v>13.45751052104413</v>
          </cell>
          <cell r="V21">
            <v>13.281296754577992</v>
          </cell>
          <cell r="W21">
            <v>12.955499297505174</v>
          </cell>
          <cell r="X21">
            <v>13.458728036460998</v>
          </cell>
          <cell r="Y21">
            <v>12.314731967955858</v>
          </cell>
          <cell r="Z21">
            <v>11.844430210932694</v>
          </cell>
          <cell r="AA21">
            <v>13.100613585202014</v>
          </cell>
          <cell r="AB21">
            <v>13.025585863029439</v>
          </cell>
        </row>
        <row r="22">
          <cell r="D22" t="str">
            <v xml:space="preserve"> 1.1.</v>
          </cell>
          <cell r="E22" t="str">
            <v>INGRESOS CORRIENTES</v>
          </cell>
          <cell r="H22">
            <v>5263700.6850998439</v>
          </cell>
          <cell r="I22">
            <v>6861486</v>
          </cell>
          <cell r="J22">
            <v>8461545.209999999</v>
          </cell>
          <cell r="K22">
            <v>10503503</v>
          </cell>
          <cell r="L22">
            <v>13687699.342834629</v>
          </cell>
          <cell r="M22">
            <v>15006976</v>
          </cell>
          <cell r="N22">
            <v>16400237</v>
          </cell>
          <cell r="O22">
            <v>20121494.774545837</v>
          </cell>
          <cell r="P22">
            <v>23540534.267028112</v>
          </cell>
          <cell r="Q22">
            <v>26701514.8384187</v>
          </cell>
          <cell r="R22">
            <v>29623705.342883013</v>
          </cell>
          <cell r="S22">
            <v>32256610.720940348</v>
          </cell>
          <cell r="T22">
            <v>36473628.937412955</v>
          </cell>
          <cell r="U22">
            <v>11.990707504955546</v>
          </cell>
          <cell r="V22">
            <v>11.833761653773937</v>
          </cell>
          <cell r="W22">
            <v>11.510605344282316</v>
          </cell>
          <cell r="X22">
            <v>11.732634432595283</v>
          </cell>
          <cell r="Y22">
            <v>11.025811181248315</v>
          </cell>
          <cell r="Z22">
            <v>10.528026961669838</v>
          </cell>
          <cell r="AA22">
            <v>10.686840479967742</v>
          </cell>
          <cell r="AB22">
            <v>11.418099029185171</v>
          </cell>
        </row>
        <row r="23">
          <cell r="E23" t="str">
            <v xml:space="preserve">  1.1.1.</v>
          </cell>
          <cell r="F23" t="str">
            <v>TRIBUTARIOS</v>
          </cell>
          <cell r="H23">
            <v>5051354.6850998439</v>
          </cell>
          <cell r="I23">
            <v>6731364</v>
          </cell>
          <cell r="J23">
            <v>8229679.2799999993</v>
          </cell>
          <cell r="K23">
            <v>10171715</v>
          </cell>
          <cell r="L23">
            <v>13148299.554000001</v>
          </cell>
          <cell r="M23">
            <v>14825238</v>
          </cell>
          <cell r="N23">
            <v>16128233</v>
          </cell>
          <cell r="O23">
            <v>19382413.840017654</v>
          </cell>
          <cell r="P23">
            <v>23059998.070563033</v>
          </cell>
          <cell r="Q23">
            <v>26545378.694288172</v>
          </cell>
          <cell r="R23">
            <v>29431895.680207804</v>
          </cell>
          <cell r="S23">
            <v>32037180.466513693</v>
          </cell>
          <cell r="T23">
            <v>36222600.726463035</v>
          </cell>
          <cell r="U23">
            <v>11.506983424090755</v>
          </cell>
          <cell r="V23">
            <v>11.60934485340265</v>
          </cell>
          <cell r="W23">
            <v>11.195188107031038</v>
          </cell>
          <cell r="X23">
            <v>11.362020237205238</v>
          </cell>
          <cell r="Y23">
            <v>10.591310095716423</v>
          </cell>
          <cell r="Z23">
            <v>10.400530085286485</v>
          </cell>
          <cell r="AA23">
            <v>10.509595275650685</v>
          </cell>
          <cell r="AB23">
            <v>10.998701792768076</v>
          </cell>
        </row>
        <row r="24">
          <cell r="F24" t="str">
            <v>Renta</v>
          </cell>
          <cell r="H24">
            <v>2053778</v>
          </cell>
          <cell r="I24">
            <v>2726730</v>
          </cell>
          <cell r="J24">
            <v>3257473</v>
          </cell>
          <cell r="K24">
            <v>3637291</v>
          </cell>
          <cell r="L24">
            <v>5081160.7374290004</v>
          </cell>
          <cell r="M24">
            <v>5764752</v>
          </cell>
          <cell r="N24">
            <v>6035064</v>
          </cell>
          <cell r="O24">
            <v>6761800</v>
          </cell>
          <cell r="P24">
            <v>7864403.8464191798</v>
          </cell>
          <cell r="Q24">
            <v>9076043.5092593804</v>
          </cell>
          <cell r="R24">
            <v>10943170.717495337</v>
          </cell>
          <cell r="S24">
            <v>12377808.872159338</v>
          </cell>
          <cell r="T24">
            <v>14011512.910577733</v>
          </cell>
          <cell r="U24">
            <v>4.6785052478046572</v>
          </cell>
          <cell r="V24">
            <v>4.7026945641505362</v>
          </cell>
          <cell r="W24">
            <v>4.4312811894383719</v>
          </cell>
          <cell r="X24">
            <v>4.0629307791856615</v>
          </cell>
          <cell r="Y24">
            <v>4.0930120883896057</v>
          </cell>
          <cell r="Z24">
            <v>4.044216801795387</v>
          </cell>
          <cell r="AA24">
            <v>3.9326118430115393</v>
          </cell>
          <cell r="AB24">
            <v>3.8370361089282898</v>
          </cell>
        </row>
        <row r="25">
          <cell r="F25" t="str">
            <v>Ventas internas</v>
          </cell>
          <cell r="H25">
            <v>1270304</v>
          </cell>
          <cell r="I25">
            <v>1688410</v>
          </cell>
          <cell r="J25">
            <v>2064330</v>
          </cell>
          <cell r="K25">
            <v>2804742</v>
          </cell>
          <cell r="L25">
            <v>3829700</v>
          </cell>
          <cell r="M25">
            <v>4037970</v>
          </cell>
          <cell r="N25">
            <v>3993819</v>
          </cell>
          <cell r="O25">
            <v>5222366.5599999996</v>
          </cell>
          <cell r="P25">
            <v>6360920.4053122215</v>
          </cell>
          <cell r="Q25">
            <v>7480264.3391452357</v>
          </cell>
          <cell r="R25">
            <v>8614424.9488249905</v>
          </cell>
          <cell r="S25">
            <v>9854902.0121063925</v>
          </cell>
          <cell r="T25">
            <v>11274007.752722001</v>
          </cell>
          <cell r="U25">
            <v>2.8937518710918355</v>
          </cell>
          <cell r="V25">
            <v>2.91194087022089</v>
          </cell>
          <cell r="W25">
            <v>2.8081972430142361</v>
          </cell>
          <cell r="X25">
            <v>3.1329559827560542</v>
          </cell>
          <cell r="Y25">
            <v>3.084926693902823</v>
          </cell>
          <cell r="Z25">
            <v>2.8328063582172689</v>
          </cell>
          <cell r="AA25">
            <v>2.6024810835882608</v>
          </cell>
          <cell r="AB25">
            <v>2.963472605634538</v>
          </cell>
        </row>
        <row r="26">
          <cell r="F26" t="str">
            <v>Ventas externas</v>
          </cell>
          <cell r="H26">
            <v>811677</v>
          </cell>
          <cell r="I26">
            <v>1083655</v>
          </cell>
          <cell r="J26">
            <v>1412000.57</v>
          </cell>
          <cell r="K26">
            <v>1378928.75</v>
          </cell>
          <cell r="L26">
            <v>2006900</v>
          </cell>
          <cell r="M26">
            <v>2368507</v>
          </cell>
          <cell r="N26">
            <v>1867124</v>
          </cell>
          <cell r="O26">
            <v>2764967</v>
          </cell>
          <cell r="P26">
            <v>2810127.8624632023</v>
          </cell>
          <cell r="Q26">
            <v>3237569.8594494509</v>
          </cell>
          <cell r="R26">
            <v>3969400.4033376002</v>
          </cell>
          <cell r="S26">
            <v>4429317.2790943999</v>
          </cell>
          <cell r="T26">
            <v>4905586.9443504</v>
          </cell>
          <cell r="U26">
            <v>1.8489997964835252</v>
          </cell>
          <cell r="V26">
            <v>1.8689413612328867</v>
          </cell>
          <cell r="W26">
            <v>1.9208053498270774</v>
          </cell>
          <cell r="X26">
            <v>1.5402925035909993</v>
          </cell>
          <cell r="Y26">
            <v>1.6166121059074015</v>
          </cell>
          <cell r="Z26">
            <v>1.6616076120134893</v>
          </cell>
          <cell r="AA26">
            <v>1.2166687801108782</v>
          </cell>
          <cell r="AB26">
            <v>1.5690020732637948</v>
          </cell>
        </row>
        <row r="27">
          <cell r="F27" t="str">
            <v>Aduanas</v>
          </cell>
          <cell r="H27">
            <v>508123</v>
          </cell>
          <cell r="I27">
            <v>718041</v>
          </cell>
          <cell r="J27">
            <v>868730.35</v>
          </cell>
          <cell r="K27">
            <v>912710</v>
          </cell>
          <cell r="L27">
            <v>1240900</v>
          </cell>
          <cell r="M27">
            <v>1646641</v>
          </cell>
          <cell r="N27">
            <v>1360239</v>
          </cell>
          <cell r="O27">
            <v>2110784</v>
          </cell>
          <cell r="P27">
            <v>2253717.4192327252</v>
          </cell>
          <cell r="Q27">
            <v>2597327.7729860581</v>
          </cell>
          <cell r="R27">
            <v>2416436.9338500001</v>
          </cell>
          <cell r="S27">
            <v>2696418.7981499997</v>
          </cell>
          <cell r="T27">
            <v>2986355.6885249997</v>
          </cell>
          <cell r="U27">
            <v>1.1575039376360279</v>
          </cell>
          <cell r="V27">
            <v>1.2383798570218596</v>
          </cell>
          <cell r="W27">
            <v>1.1817714095095224</v>
          </cell>
          <cell r="X27">
            <v>1.0195163245037433</v>
          </cell>
          <cell r="Y27">
            <v>0.99957843550774539</v>
          </cell>
          <cell r="Z27">
            <v>1.1551881501103878</v>
          </cell>
          <cell r="AA27">
            <v>0.88636872794160482</v>
          </cell>
          <cell r="AB27">
            <v>1.197780831457318</v>
          </cell>
        </row>
        <row r="28">
          <cell r="F28" t="str">
            <v>Gasolina</v>
          </cell>
          <cell r="H28">
            <v>319997.68509984389</v>
          </cell>
          <cell r="I28">
            <v>405857</v>
          </cell>
          <cell r="J28">
            <v>465782.39</v>
          </cell>
          <cell r="K28">
            <v>637180.5</v>
          </cell>
          <cell r="L28">
            <v>636400</v>
          </cell>
          <cell r="M28">
            <v>641768</v>
          </cell>
          <cell r="N28">
            <v>799292</v>
          </cell>
          <cell r="O28">
            <v>939040.28001765453</v>
          </cell>
          <cell r="P28">
            <v>1310298</v>
          </cell>
          <cell r="Q28">
            <v>1512491</v>
          </cell>
          <cell r="R28">
            <v>1700369.0592616</v>
          </cell>
          <cell r="S28">
            <v>1948541.6215686558</v>
          </cell>
          <cell r="T28">
            <v>2209797.9160182984</v>
          </cell>
          <cell r="U28">
            <v>0.72895456520858726</v>
          </cell>
          <cell r="V28">
            <v>0.6999671796336433</v>
          </cell>
          <cell r="W28">
            <v>0.63362389900964566</v>
          </cell>
          <cell r="X28">
            <v>0.71174406044138594</v>
          </cell>
          <cell r="Y28">
            <v>0.51263737316232505</v>
          </cell>
          <cell r="Z28">
            <v>0.45022733474998089</v>
          </cell>
          <cell r="AA28">
            <v>0.52084040620354299</v>
          </cell>
          <cell r="AB28">
            <v>0.53286572542309341</v>
          </cell>
        </row>
        <row r="29">
          <cell r="F29" t="str">
            <v>Resto</v>
          </cell>
          <cell r="H29">
            <v>87475</v>
          </cell>
          <cell r="I29">
            <v>108671</v>
          </cell>
          <cell r="J29">
            <v>161362.96999999997</v>
          </cell>
          <cell r="K29">
            <v>171960</v>
          </cell>
          <cell r="L29">
            <v>278838.596571</v>
          </cell>
          <cell r="M29">
            <v>365600</v>
          </cell>
          <cell r="N29">
            <v>1185151</v>
          </cell>
          <cell r="O29">
            <v>1583456</v>
          </cell>
          <cell r="P29">
            <v>1405162.5371357051</v>
          </cell>
          <cell r="Q29">
            <v>1587485.2134480462</v>
          </cell>
          <cell r="R29">
            <v>1213186.6174382728</v>
          </cell>
          <cell r="S29">
            <v>730191.88343491009</v>
          </cell>
          <cell r="T29">
            <v>835339.51426960295</v>
          </cell>
          <cell r="U29">
            <v>0.19926800586612206</v>
          </cell>
          <cell r="V29">
            <v>0.18742102114283515</v>
          </cell>
          <cell r="W29">
            <v>0.21950901623218616</v>
          </cell>
          <cell r="X29">
            <v>0.19208294766318293</v>
          </cell>
          <cell r="Y29">
            <v>0.22461201395730163</v>
          </cell>
          <cell r="Z29">
            <v>0.25648382839997164</v>
          </cell>
          <cell r="AA29">
            <v>0.77227662512890816</v>
          </cell>
          <cell r="AB29">
            <v>0.89854444806104217</v>
          </cell>
        </row>
        <row r="30">
          <cell r="F30" t="str">
            <v>Reforma y Racionalización Tributarias</v>
          </cell>
          <cell r="K30">
            <v>628902.75</v>
          </cell>
          <cell r="L30">
            <v>74400.22</v>
          </cell>
          <cell r="M30">
            <v>0</v>
          </cell>
          <cell r="N30">
            <v>887544</v>
          </cell>
          <cell r="O30">
            <v>0</v>
          </cell>
          <cell r="P30">
            <v>1055368</v>
          </cell>
          <cell r="Q30">
            <v>1054197</v>
          </cell>
          <cell r="R30">
            <v>574907</v>
          </cell>
          <cell r="S30">
            <v>0</v>
          </cell>
          <cell r="T30">
            <v>0</v>
          </cell>
          <cell r="U30">
            <v>0</v>
          </cell>
          <cell r="V30">
            <v>0</v>
          </cell>
          <cell r="W30">
            <v>0</v>
          </cell>
          <cell r="X30">
            <v>0.70249763906421159</v>
          </cell>
          <cell r="Y30">
            <v>5.9931384889219175E-2</v>
          </cell>
          <cell r="Z30">
            <v>0</v>
          </cell>
          <cell r="AA30">
            <v>0.57834780966595112</v>
          </cell>
          <cell r="AB30">
            <v>0</v>
          </cell>
        </row>
        <row r="31">
          <cell r="E31" t="str">
            <v xml:space="preserve">  1.1.2.</v>
          </cell>
          <cell r="F31" t="str">
            <v>NO TRIBUTARIOS</v>
          </cell>
          <cell r="H31">
            <v>212346</v>
          </cell>
          <cell r="I31">
            <v>130122</v>
          </cell>
          <cell r="J31">
            <v>231865.93</v>
          </cell>
          <cell r="K31">
            <v>331788</v>
          </cell>
          <cell r="L31">
            <v>539399.78883462772</v>
          </cell>
          <cell r="M31">
            <v>181738</v>
          </cell>
          <cell r="N31">
            <v>272004</v>
          </cell>
          <cell r="O31">
            <v>739080.93452818377</v>
          </cell>
          <cell r="P31">
            <v>480536.19646507886</v>
          </cell>
          <cell r="Q31">
            <v>156136.14413052661</v>
          </cell>
          <cell r="R31">
            <v>191809.66267521112</v>
          </cell>
          <cell r="S31">
            <v>219430.25442665338</v>
          </cell>
          <cell r="T31">
            <v>251028.21094991729</v>
          </cell>
          <cell r="U31">
            <v>0.48372408086479063</v>
          </cell>
          <cell r="V31">
            <v>0.22441680037128575</v>
          </cell>
          <cell r="W31">
            <v>0.31541723725127863</v>
          </cell>
          <cell r="X31">
            <v>0.37061419539004498</v>
          </cell>
          <cell r="Y31">
            <v>0.43450108553189259</v>
          </cell>
          <cell r="Z31">
            <v>0.12749687638335352</v>
          </cell>
          <cell r="AA31">
            <v>0.17724520431705626</v>
          </cell>
          <cell r="AB31">
            <v>0.41939723641709403</v>
          </cell>
        </row>
        <row r="32">
          <cell r="F32" t="str">
            <v>Contribución hidrocarburos</v>
          </cell>
          <cell r="H32">
            <v>92000</v>
          </cell>
          <cell r="I32">
            <v>115700</v>
          </cell>
          <cell r="J32">
            <v>172307.49</v>
          </cell>
          <cell r="K32">
            <v>267843</v>
          </cell>
          <cell r="L32">
            <v>278800</v>
          </cell>
          <cell r="M32">
            <v>41269</v>
          </cell>
          <cell r="N32">
            <v>14000</v>
          </cell>
          <cell r="O32">
            <v>58186.551473012805</v>
          </cell>
          <cell r="P32">
            <v>0</v>
          </cell>
          <cell r="Q32">
            <v>0</v>
          </cell>
          <cell r="R32">
            <v>0</v>
          </cell>
          <cell r="S32">
            <v>0</v>
          </cell>
          <cell r="T32">
            <v>0</v>
          </cell>
          <cell r="U32">
            <v>0.20957595358311781</v>
          </cell>
          <cell r="V32">
            <v>0.19954368825377539</v>
          </cell>
          <cell r="W32">
            <v>0.23439731940566821</v>
          </cell>
          <cell r="X32">
            <v>0.29918628140817577</v>
          </cell>
          <cell r="Y32">
            <v>0.22458092337783822</v>
          </cell>
          <cell r="Z32">
            <v>2.8951945060827218E-2</v>
          </cell>
          <cell r="AA32">
            <v>9.1227807695430495E-3</v>
          </cell>
          <cell r="AB32">
            <v>3.3018412117478295E-2</v>
          </cell>
        </row>
        <row r="33">
          <cell r="F33" t="str">
            <v xml:space="preserve">Resto </v>
          </cell>
          <cell r="H33">
            <v>120346</v>
          </cell>
          <cell r="I33">
            <v>14422</v>
          </cell>
          <cell r="J33">
            <v>59558.44</v>
          </cell>
          <cell r="K33">
            <v>63945</v>
          </cell>
          <cell r="L33">
            <v>260599.78883462772</v>
          </cell>
          <cell r="M33">
            <v>140469</v>
          </cell>
          <cell r="N33">
            <v>258004</v>
          </cell>
          <cell r="O33">
            <v>680894.383055171</v>
          </cell>
          <cell r="P33">
            <v>480536.19646507886</v>
          </cell>
          <cell r="Q33">
            <v>156136.14413052661</v>
          </cell>
          <cell r="R33">
            <v>191809.66267521112</v>
          </cell>
          <cell r="S33">
            <v>219430.25442665338</v>
          </cell>
          <cell r="T33">
            <v>251028.21094991729</v>
          </cell>
          <cell r="U33">
            <v>0.27414812728167276</v>
          </cell>
          <cell r="V33">
            <v>2.4873112117510362E-2</v>
          </cell>
          <cell r="W33">
            <v>8.1019917845610356E-2</v>
          </cell>
          <cell r="X33">
            <v>7.1427913981869234E-2</v>
          </cell>
          <cell r="Y33">
            <v>0.20992016215405432</v>
          </cell>
          <cell r="Z33">
            <v>9.85449313225263E-2</v>
          </cell>
          <cell r="AA33">
            <v>0.16812242354751319</v>
          </cell>
          <cell r="AB33">
            <v>0.38637882429961579</v>
          </cell>
        </row>
        <row r="34">
          <cell r="D34" t="str">
            <v xml:space="preserve"> 1.2.</v>
          </cell>
          <cell r="E34" t="str">
            <v>CONTRIBUCIONES PARAFISCALES</v>
          </cell>
          <cell r="H34">
            <v>81799.62289557296</v>
          </cell>
          <cell r="I34">
            <v>219100</v>
          </cell>
          <cell r="J34">
            <v>259554</v>
          </cell>
          <cell r="U34">
            <v>0.18633949968564281</v>
          </cell>
          <cell r="V34">
            <v>0.37787400256181675</v>
          </cell>
          <cell r="W34">
            <v>0.35308251452690081</v>
          </cell>
        </row>
        <row r="35">
          <cell r="D35" t="str">
            <v xml:space="preserve"> 1.3.</v>
          </cell>
          <cell r="E35" t="str">
            <v>FONDOS ESPECIALES</v>
          </cell>
          <cell r="K35">
            <v>400315</v>
          </cell>
          <cell r="L35">
            <v>382093.34802990541</v>
          </cell>
          <cell r="M35">
            <v>386363</v>
          </cell>
          <cell r="N35">
            <v>539961</v>
          </cell>
          <cell r="O35">
            <v>604451</v>
          </cell>
          <cell r="P35">
            <v>758201</v>
          </cell>
          <cell r="Q35">
            <v>856056</v>
          </cell>
          <cell r="R35">
            <v>1059783.7867870014</v>
          </cell>
          <cell r="S35">
            <v>1202635.0115191403</v>
          </cell>
          <cell r="T35">
            <v>1367601.312581595</v>
          </cell>
          <cell r="U35">
            <v>0</v>
          </cell>
          <cell r="V35">
            <v>0</v>
          </cell>
          <cell r="W35">
            <v>0</v>
          </cell>
          <cell r="X35">
            <v>0.44716030003365359</v>
          </cell>
          <cell r="Y35">
            <v>0.30778650257204399</v>
          </cell>
          <cell r="Z35">
            <v>0.27104994910311336</v>
          </cell>
          <cell r="AA35">
            <v>0.35185327336451672</v>
          </cell>
          <cell r="AB35">
            <v>0.34300043081395692</v>
          </cell>
        </row>
        <row r="36">
          <cell r="D36" t="str">
            <v xml:space="preserve"> 1.4.</v>
          </cell>
          <cell r="E36" t="str">
            <v>OTROS DE CAPITAL</v>
          </cell>
          <cell r="H36">
            <v>562100</v>
          </cell>
          <cell r="I36">
            <v>620214</v>
          </cell>
          <cell r="J36">
            <v>802600</v>
          </cell>
          <cell r="K36">
            <v>1144950</v>
          </cell>
          <cell r="L36">
            <v>1218003</v>
          </cell>
          <cell r="M36">
            <v>1490079</v>
          </cell>
          <cell r="N36">
            <v>3164263</v>
          </cell>
          <cell r="O36">
            <v>2228335.5999999996</v>
          </cell>
          <cell r="P36">
            <v>2585483.2600000012</v>
          </cell>
          <cell r="Q36">
            <v>2842634.6956000007</v>
          </cell>
          <cell r="R36">
            <v>2763794.1613799995</v>
          </cell>
          <cell r="S36">
            <v>2887126.4064364014</v>
          </cell>
          <cell r="T36">
            <v>3018887.299007263</v>
          </cell>
          <cell r="U36">
            <v>1.2804635164029405</v>
          </cell>
          <cell r="V36">
            <v>1.0696610982422392</v>
          </cell>
          <cell r="W36">
            <v>1.0918114386959576</v>
          </cell>
          <cell r="X36">
            <v>1.2789333038320616</v>
          </cell>
          <cell r="Y36">
            <v>0.98113428413549886</v>
          </cell>
          <cell r="Z36">
            <v>1.0453533001597413</v>
          </cell>
          <cell r="AA36">
            <v>2.0619198318697571</v>
          </cell>
          <cell r="AB36">
            <v>1.2644864030303153</v>
          </cell>
        </row>
        <row r="37">
          <cell r="E37" t="str">
            <v>Rendimientos financieros</v>
          </cell>
          <cell r="H37">
            <v>121900</v>
          </cell>
          <cell r="I37">
            <v>125100</v>
          </cell>
          <cell r="J37">
            <v>141300</v>
          </cell>
          <cell r="K37">
            <v>293738</v>
          </cell>
          <cell r="L37">
            <v>318811.99</v>
          </cell>
          <cell r="M37">
            <v>291800</v>
          </cell>
          <cell r="N37">
            <v>320558</v>
          </cell>
          <cell r="O37">
            <v>494497</v>
          </cell>
          <cell r="P37">
            <v>559493</v>
          </cell>
          <cell r="Q37">
            <v>626156</v>
          </cell>
          <cell r="R37">
            <v>657463.80000000005</v>
          </cell>
          <cell r="S37">
            <v>683762.35200000007</v>
          </cell>
          <cell r="T37">
            <v>711112.84608000005</v>
          </cell>
          <cell r="U37">
            <v>0.27768813849763108</v>
          </cell>
          <cell r="V37">
            <v>0.2157555350090519</v>
          </cell>
          <cell r="W37">
            <v>0.19221649176144878</v>
          </cell>
          <cell r="X37">
            <v>0.3281115426883463</v>
          </cell>
          <cell r="Y37">
            <v>0.25681166104062458</v>
          </cell>
          <cell r="Z37">
            <v>0.2047100140238286</v>
          </cell>
          <cell r="AA37">
            <v>0.20888431128022719</v>
          </cell>
          <cell r="AB37">
            <v>0.28060617657379883</v>
          </cell>
        </row>
        <row r="38">
          <cell r="E38" t="str">
            <v>Excedentes financieros</v>
          </cell>
          <cell r="H38">
            <v>154960</v>
          </cell>
          <cell r="I38">
            <v>220000</v>
          </cell>
          <cell r="J38">
            <v>428800</v>
          </cell>
          <cell r="K38">
            <v>550000</v>
          </cell>
          <cell r="L38">
            <v>635803</v>
          </cell>
          <cell r="M38">
            <v>712766</v>
          </cell>
          <cell r="N38">
            <v>2645009</v>
          </cell>
          <cell r="O38">
            <v>1515273.0000000002</v>
          </cell>
          <cell r="P38">
            <v>1779006.8400000003</v>
          </cell>
          <cell r="Q38">
            <v>1940644.1904000002</v>
          </cell>
          <cell r="R38">
            <v>1816704.1309200004</v>
          </cell>
          <cell r="S38">
            <v>1902152.7747580006</v>
          </cell>
          <cell r="T38">
            <v>1994514.7220617256</v>
          </cell>
          <cell r="U38">
            <v>0.35299880181782534</v>
          </cell>
          <cell r="V38">
            <v>0.37942620065540705</v>
          </cell>
          <cell r="W38">
            <v>0.58331515688116953</v>
          </cell>
          <cell r="X38">
            <v>0.61436160278408125</v>
          </cell>
          <cell r="Y38">
            <v>0.51215647355236615</v>
          </cell>
          <cell r="Z38">
            <v>0.50003542788111111</v>
          </cell>
          <cell r="AA38">
            <v>1.7235598028905921</v>
          </cell>
          <cell r="AB38">
            <v>0.85985347331836159</v>
          </cell>
        </row>
        <row r="39">
          <cell r="F39" t="str">
            <v>Ecopetrol</v>
          </cell>
          <cell r="H39">
            <v>110000</v>
          </cell>
          <cell r="I39">
            <v>139000</v>
          </cell>
          <cell r="J39">
            <v>194020</v>
          </cell>
          <cell r="K39">
            <v>226224</v>
          </cell>
          <cell r="L39">
            <v>223000</v>
          </cell>
          <cell r="M39">
            <v>279000</v>
          </cell>
          <cell r="N39">
            <v>279000</v>
          </cell>
          <cell r="O39">
            <v>674000</v>
          </cell>
          <cell r="P39">
            <v>311674</v>
          </cell>
          <cell r="Q39">
            <v>340633.9</v>
          </cell>
          <cell r="R39">
            <v>136800</v>
          </cell>
          <cell r="S39">
            <v>156499.25380120002</v>
          </cell>
          <cell r="T39">
            <v>179035.06026665284</v>
          </cell>
          <cell r="U39">
            <v>0.25057994450155385</v>
          </cell>
          <cell r="V39">
            <v>0.23972837223227988</v>
          </cell>
          <cell r="W39">
            <v>0.26393378437053289</v>
          </cell>
          <cell r="X39">
            <v>0.25269698041495636</v>
          </cell>
          <cell r="Y39">
            <v>0.17963251762287635</v>
          </cell>
          <cell r="Z39">
            <v>0.19573027386102868</v>
          </cell>
          <cell r="AA39">
            <v>0.18180398819303648</v>
          </cell>
          <cell r="AB39">
            <v>0.38246655290272824</v>
          </cell>
        </row>
        <row r="40">
          <cell r="F40" t="str">
            <v>Resto</v>
          </cell>
          <cell r="H40">
            <v>44960</v>
          </cell>
          <cell r="I40">
            <v>81000</v>
          </cell>
          <cell r="J40">
            <v>234780</v>
          </cell>
          <cell r="K40">
            <v>323776</v>
          </cell>
          <cell r="L40">
            <v>412803</v>
          </cell>
          <cell r="M40">
            <v>433766</v>
          </cell>
          <cell r="N40">
            <v>2366009</v>
          </cell>
          <cell r="O40">
            <v>841273.00000000023</v>
          </cell>
          <cell r="P40">
            <v>1467332.8400000003</v>
          </cell>
          <cell r="Q40">
            <v>1600010.2904000003</v>
          </cell>
          <cell r="R40">
            <v>1679904.1309200004</v>
          </cell>
          <cell r="S40">
            <v>1745653.5209568006</v>
          </cell>
          <cell r="T40">
            <v>1815479.6617950727</v>
          </cell>
          <cell r="U40">
            <v>0.10241885731627148</v>
          </cell>
          <cell r="V40">
            <v>0.13969782842312711</v>
          </cell>
          <cell r="W40">
            <v>0.31938137251063659</v>
          </cell>
          <cell r="X40">
            <v>0.36166462236912489</v>
          </cell>
          <cell r="Y40">
            <v>0.3325239559294898</v>
          </cell>
          <cell r="Z40">
            <v>0.30430515402008235</v>
          </cell>
          <cell r="AA40">
            <v>1.5417558146975556</v>
          </cell>
          <cell r="AB40">
            <v>0.47738692041563341</v>
          </cell>
        </row>
        <row r="41">
          <cell r="E41" t="str">
            <v>Recuperación de cartera</v>
          </cell>
          <cell r="H41">
            <v>66700</v>
          </cell>
          <cell r="I41">
            <v>55200</v>
          </cell>
          <cell r="J41">
            <v>5900</v>
          </cell>
          <cell r="K41">
            <v>8100</v>
          </cell>
          <cell r="L41">
            <v>75800</v>
          </cell>
          <cell r="M41">
            <v>75100</v>
          </cell>
          <cell r="N41">
            <v>3481</v>
          </cell>
          <cell r="O41">
            <v>3829.1000000000004</v>
          </cell>
          <cell r="P41">
            <v>4332</v>
          </cell>
          <cell r="Q41">
            <v>4887</v>
          </cell>
          <cell r="R41">
            <v>5131.3500000000004</v>
          </cell>
          <cell r="S41">
            <v>5336.6040000000003</v>
          </cell>
          <cell r="T41">
            <v>5550.0681600000007</v>
          </cell>
          <cell r="U41">
            <v>0.1519425663477604</v>
          </cell>
          <cell r="V41">
            <v>9.5201483073538498E-2</v>
          </cell>
          <cell r="W41">
            <v>8.0260247798481822E-3</v>
          </cell>
          <cell r="X41">
            <v>9.0478708773655617E-3</v>
          </cell>
          <cell r="Y41">
            <v>6.1058945452080841E-2</v>
          </cell>
          <cell r="Z41">
            <v>5.2685819236427442E-2</v>
          </cell>
          <cell r="AA41">
            <v>2.2683142756270967E-3</v>
          </cell>
          <cell r="AB41">
            <v>2.1728526375665233E-3</v>
          </cell>
        </row>
        <row r="42">
          <cell r="E42" t="str">
            <v>Reintegros y recursos no apropiados</v>
          </cell>
          <cell r="H42">
            <v>78400</v>
          </cell>
          <cell r="I42">
            <v>171400</v>
          </cell>
          <cell r="J42">
            <v>226600</v>
          </cell>
          <cell r="K42">
            <v>192000</v>
          </cell>
          <cell r="L42">
            <v>83188.009999999995</v>
          </cell>
          <cell r="M42">
            <v>199903</v>
          </cell>
          <cell r="N42">
            <v>190017</v>
          </cell>
          <cell r="O42">
            <v>209018.7</v>
          </cell>
          <cell r="P42">
            <v>236476.19600000003</v>
          </cell>
          <cell r="Q42">
            <v>264401.76776000008</v>
          </cell>
          <cell r="R42">
            <v>277621.85614800011</v>
          </cell>
          <cell r="S42">
            <v>288726.73039392009</v>
          </cell>
          <cell r="T42">
            <v>300275.79960967693</v>
          </cell>
          <cell r="U42">
            <v>0.17859516044474388</v>
          </cell>
          <cell r="V42">
            <v>0.29560750360153071</v>
          </cell>
          <cell r="W42">
            <v>0.30825376527349113</v>
          </cell>
          <cell r="X42">
            <v>0.21446805042644293</v>
          </cell>
          <cell r="Y42">
            <v>6.7010186871466426E-2</v>
          </cell>
          <cell r="Z42">
            <v>0.14024039045032696</v>
          </cell>
          <cell r="AA42">
            <v>0.12382024524901869</v>
          </cell>
          <cell r="AB42">
            <v>0.11860929032820398</v>
          </cell>
        </row>
        <row r="43">
          <cell r="E43" t="str">
            <v xml:space="preserve">Resto </v>
          </cell>
          <cell r="H43">
            <v>140140</v>
          </cell>
          <cell r="I43">
            <v>48514</v>
          </cell>
          <cell r="J43">
            <v>0</v>
          </cell>
          <cell r="K43">
            <v>101112</v>
          </cell>
          <cell r="L43">
            <v>104400</v>
          </cell>
          <cell r="M43">
            <v>210510</v>
          </cell>
          <cell r="N43">
            <v>5198</v>
          </cell>
          <cell r="O43">
            <v>5717.8</v>
          </cell>
          <cell r="P43">
            <v>6175.2240000000002</v>
          </cell>
          <cell r="Q43">
            <v>6545.7374400000008</v>
          </cell>
          <cell r="R43">
            <v>6873.0243120000014</v>
          </cell>
          <cell r="S43">
            <v>7147.9452844800016</v>
          </cell>
          <cell r="T43">
            <v>7433.8630958592021</v>
          </cell>
          <cell r="U43">
            <v>0.31923884929497964</v>
          </cell>
          <cell r="V43">
            <v>8.3670375902710981E-2</v>
          </cell>
          <cell r="W43">
            <v>0</v>
          </cell>
          <cell r="X43">
            <v>0.11294423705582549</v>
          </cell>
          <cell r="Y43">
            <v>8.4097017218960943E-2</v>
          </cell>
          <cell r="Z43">
            <v>0.14768164856804714</v>
          </cell>
          <cell r="AA43">
            <v>3.3871581742917693E-3</v>
          </cell>
          <cell r="AB43">
            <v>3.2446101723845981E-3</v>
          </cell>
        </row>
        <row r="45">
          <cell r="C45" t="str">
            <v xml:space="preserve"> 2.</v>
          </cell>
          <cell r="D45" t="str">
            <v xml:space="preserve"> PAGOS TOTALES</v>
          </cell>
          <cell r="H45">
            <v>6046333.0410558749</v>
          </cell>
          <cell r="I45">
            <v>8498337</v>
          </cell>
          <cell r="J45">
            <v>11290300</v>
          </cell>
          <cell r="K45">
            <v>15363198.08</v>
          </cell>
          <cell r="L45">
            <v>19589241</v>
          </cell>
          <cell r="M45">
            <v>23492406</v>
          </cell>
          <cell r="N45">
            <v>27734235</v>
          </cell>
          <cell r="O45">
            <v>31690348.102001004</v>
          </cell>
          <cell r="P45">
            <v>34233070.352725402</v>
          </cell>
          <cell r="Q45">
            <v>38373303.230387703</v>
          </cell>
          <cell r="R45">
            <v>41980882.71451927</v>
          </cell>
          <cell r="S45">
            <v>45846335.122750215</v>
          </cell>
          <cell r="T45">
            <v>51033025.458530419</v>
          </cell>
          <cell r="U45">
            <v>13.773543616960843</v>
          </cell>
          <cell r="V45">
            <v>14.656780544542137</v>
          </cell>
          <cell r="W45">
            <v>15.35868263930846</v>
          </cell>
          <cell r="X45">
            <v>17.161016356942035</v>
          </cell>
          <cell r="Y45">
            <v>15.779662238346509</v>
          </cell>
          <cell r="Z45">
            <v>16.48091419367195</v>
          </cell>
          <cell r="AA45">
            <v>18.07238183685627</v>
          </cell>
          <cell r="AB45">
            <v>17.982935013145163</v>
          </cell>
        </row>
        <row r="46">
          <cell r="D46" t="str">
            <v xml:space="preserve"> 2.1.</v>
          </cell>
          <cell r="E46" t="str">
            <v xml:space="preserve"> PAGOS CORRIENTES</v>
          </cell>
          <cell r="H46">
            <v>5073285.0410558749</v>
          </cell>
          <cell r="I46">
            <v>7159337</v>
          </cell>
          <cell r="J46">
            <v>9544400</v>
          </cell>
          <cell r="K46">
            <v>13046998.08</v>
          </cell>
          <cell r="L46">
            <v>16419841</v>
          </cell>
          <cell r="M46">
            <v>21212186</v>
          </cell>
          <cell r="N46">
            <v>25711137</v>
          </cell>
          <cell r="O46">
            <v>29337897.772421002</v>
          </cell>
          <cell r="P46">
            <v>32081049.352725405</v>
          </cell>
          <cell r="Q46">
            <v>36160675.230387703</v>
          </cell>
          <cell r="R46">
            <v>39158525.664519273</v>
          </cell>
          <cell r="S46">
            <v>42617558.652750216</v>
          </cell>
          <cell r="T46">
            <v>47339305.178530417</v>
          </cell>
          <cell r="U46">
            <v>11.556940763894042</v>
          </cell>
          <cell r="V46">
            <v>12.347454714189453</v>
          </cell>
          <cell r="W46">
            <v>12.983659476064913</v>
          </cell>
          <cell r="X46">
            <v>14.573772094453874</v>
          </cell>
          <cell r="Y46">
            <v>13.226625012544069</v>
          </cell>
          <cell r="Z46">
            <v>14.881243637889172</v>
          </cell>
          <cell r="AA46">
            <v>16.75407615619191</v>
          </cell>
          <cell r="AB46">
            <v>16.648018739511112</v>
          </cell>
        </row>
        <row r="47">
          <cell r="E47" t="str">
            <v xml:space="preserve"> 2.1.1.</v>
          </cell>
          <cell r="F47" t="str">
            <v xml:space="preserve"> Interes deuda Externa</v>
          </cell>
          <cell r="H47">
            <v>338748</v>
          </cell>
          <cell r="I47">
            <v>375230</v>
          </cell>
          <cell r="J47">
            <v>383400</v>
          </cell>
          <cell r="K47">
            <v>467078</v>
          </cell>
          <cell r="L47">
            <v>617500</v>
          </cell>
          <cell r="M47">
            <v>889000</v>
          </cell>
          <cell r="N47">
            <v>1417360</v>
          </cell>
          <cell r="O47">
            <v>2280777.8724210002</v>
          </cell>
          <cell r="P47">
            <v>2554433</v>
          </cell>
          <cell r="Q47">
            <v>3248517</v>
          </cell>
          <cell r="R47">
            <v>2777321.1498819999</v>
          </cell>
          <cell r="S47">
            <v>3084712.2691718875</v>
          </cell>
          <cell r="T47">
            <v>3426119.7874645363</v>
          </cell>
          <cell r="U47">
            <v>0.77166777309102164</v>
          </cell>
          <cell r="V47">
            <v>0.64714587850876526</v>
          </cell>
          <cell r="W47">
            <v>0.52155557637182925</v>
          </cell>
          <cell r="X47">
            <v>0.52173597946396932</v>
          </cell>
          <cell r="Y47">
            <v>0.49741291314854769</v>
          </cell>
          <cell r="Z47">
            <v>0.62367101599446062</v>
          </cell>
          <cell r="AA47">
            <v>0.92359032510853833</v>
          </cell>
          <cell r="AB47">
            <v>1.2942451792309768</v>
          </cell>
        </row>
        <row r="48">
          <cell r="E48" t="str">
            <v xml:space="preserve"> 2.1.2.</v>
          </cell>
          <cell r="F48" t="str">
            <v xml:space="preserve"> Interes deuda Interna</v>
          </cell>
          <cell r="H48">
            <v>243638</v>
          </cell>
          <cell r="I48">
            <v>404920</v>
          </cell>
          <cell r="J48">
            <v>652700</v>
          </cell>
          <cell r="K48">
            <v>1411444</v>
          </cell>
          <cell r="L48">
            <v>1832800</v>
          </cell>
          <cell r="M48">
            <v>3201700</v>
          </cell>
          <cell r="N48">
            <v>3535289</v>
          </cell>
          <cell r="O48">
            <v>4814374.9000000004</v>
          </cell>
          <cell r="P48">
            <v>4087899</v>
          </cell>
          <cell r="Q48">
            <v>4167775</v>
          </cell>
          <cell r="R48">
            <v>5441978.6862513637</v>
          </cell>
          <cell r="S48">
            <v>6082000.8508751765</v>
          </cell>
          <cell r="T48">
            <v>7184995.5533625428</v>
          </cell>
          <cell r="U48">
            <v>0.55500724107699628</v>
          </cell>
          <cell r="V48">
            <v>0.69835116895176097</v>
          </cell>
          <cell r="W48">
            <v>0.8878959955604927</v>
          </cell>
          <cell r="X48">
            <v>1.5766127237817722</v>
          </cell>
          <cell r="Y48">
            <v>1.4763698578439808</v>
          </cell>
          <cell r="Z48">
            <v>2.2461276624403426</v>
          </cell>
          <cell r="AA48">
            <v>2.3036904645697911</v>
          </cell>
          <cell r="AB48">
            <v>2.7319545584338529</v>
          </cell>
        </row>
        <row r="49">
          <cell r="E49" t="str">
            <v xml:space="preserve"> 2.1.3.</v>
          </cell>
          <cell r="F49" t="str">
            <v xml:space="preserve"> Otros</v>
          </cell>
          <cell r="H49">
            <v>4490899.0410558749</v>
          </cell>
          <cell r="I49">
            <v>6379187</v>
          </cell>
          <cell r="J49">
            <v>8508300</v>
          </cell>
          <cell r="K49">
            <v>11168476.08</v>
          </cell>
          <cell r="L49">
            <v>13969541</v>
          </cell>
          <cell r="M49">
            <v>17121486</v>
          </cell>
          <cell r="N49">
            <v>20758488</v>
          </cell>
          <cell r="O49">
            <v>22242745</v>
          </cell>
          <cell r="P49">
            <v>25438717.352725405</v>
          </cell>
          <cell r="Q49">
            <v>28744383.230387703</v>
          </cell>
          <cell r="R49">
            <v>30939225.828385908</v>
          </cell>
          <cell r="S49">
            <v>33450845.532703154</v>
          </cell>
          <cell r="T49">
            <v>36728189.83770334</v>
          </cell>
          <cell r="U49">
            <v>10.230265749726025</v>
          </cell>
          <cell r="V49">
            <v>11.001957666728927</v>
          </cell>
          <cell r="W49">
            <v>11.57420790413259</v>
          </cell>
          <cell r="X49">
            <v>12.475423391208132</v>
          </cell>
          <cell r="Y49">
            <v>11.252842241551541</v>
          </cell>
          <cell r="Z49">
            <v>12.011444959454369</v>
          </cell>
          <cell r="AA49">
            <v>13.526795366513584</v>
          </cell>
          <cell r="AB49">
            <v>12.62181900184628</v>
          </cell>
        </row>
        <row r="50">
          <cell r="F50" t="str">
            <v xml:space="preserve"> 2.1.3.1.</v>
          </cell>
          <cell r="G50" t="str">
            <v xml:space="preserve"> Servicios Personales</v>
          </cell>
          <cell r="H50">
            <v>1092593.0410558751</v>
          </cell>
          <cell r="I50">
            <v>1525331</v>
          </cell>
          <cell r="J50">
            <v>1946082.4</v>
          </cell>
          <cell r="K50">
            <v>2377977.85</v>
          </cell>
          <cell r="L50">
            <v>2848199.6999999997</v>
          </cell>
          <cell r="M50">
            <v>3547894.0000000005</v>
          </cell>
          <cell r="N50">
            <v>4084291.9999999995</v>
          </cell>
          <cell r="O50">
            <v>4453811</v>
          </cell>
          <cell r="P50">
            <v>4821438.6027839063</v>
          </cell>
          <cell r="Q50">
            <v>5294024.3743477929</v>
          </cell>
          <cell r="R50">
            <v>5666457.5972418422</v>
          </cell>
          <cell r="S50">
            <v>5935094.2064066734</v>
          </cell>
          <cell r="T50">
            <v>6315404.7765845414</v>
          </cell>
          <cell r="U50">
            <v>2.4889263962778654</v>
          </cell>
          <cell r="V50">
            <v>2.6306843003268758</v>
          </cell>
          <cell r="W50">
            <v>2.6473399264451558</v>
          </cell>
          <cell r="X50">
            <v>2.6562514242018973</v>
          </cell>
          <cell r="Y50">
            <v>2.2943017166086146</v>
          </cell>
          <cell r="Z50">
            <v>2.4889973629028694</v>
          </cell>
          <cell r="AA50">
            <v>2.661435751057037</v>
          </cell>
          <cell r="AB50">
            <v>2.5273497632793065</v>
          </cell>
        </row>
        <row r="51">
          <cell r="F51" t="str">
            <v xml:space="preserve"> 2.1.3.2.</v>
          </cell>
          <cell r="G51" t="str">
            <v>Operación Comercial</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F52" t="str">
            <v xml:space="preserve"> 2.1.3.3.</v>
          </cell>
          <cell r="G52" t="str">
            <v xml:space="preserve"> Transferencias</v>
          </cell>
          <cell r="H52">
            <v>3000623</v>
          </cell>
          <cell r="I52">
            <v>4254181</v>
          </cell>
          <cell r="J52">
            <v>5837260.2000000002</v>
          </cell>
          <cell r="K52">
            <v>7937416.0999999996</v>
          </cell>
          <cell r="L52">
            <v>9799363</v>
          </cell>
          <cell r="M52">
            <v>12259100</v>
          </cell>
          <cell r="N52">
            <v>15462616</v>
          </cell>
          <cell r="O52">
            <v>16633000</v>
          </cell>
          <cell r="P52">
            <v>19372949.384746965</v>
          </cell>
          <cell r="Q52">
            <v>22095485.799481384</v>
          </cell>
          <cell r="R52">
            <v>23800751.239357423</v>
          </cell>
          <cell r="S52">
            <v>25971200.689425431</v>
          </cell>
          <cell r="T52">
            <v>28754312.309958752</v>
          </cell>
          <cell r="U52">
            <v>6.8354176800916919</v>
          </cell>
          <cell r="V52">
            <v>7.337035153320091</v>
          </cell>
          <cell r="W52">
            <v>7.940677120613822</v>
          </cell>
          <cell r="X52">
            <v>8.8662612312003102</v>
          </cell>
          <cell r="Y52">
            <v>7.8936513308989351</v>
          </cell>
          <cell r="Z52">
            <v>8.6002759867015666</v>
          </cell>
          <cell r="AA52">
            <v>10.075861135116334</v>
          </cell>
          <cell r="AB52">
            <v>9.4385254813517481</v>
          </cell>
        </row>
        <row r="53">
          <cell r="F53" t="str">
            <v xml:space="preserve"> 2.1.3.4.</v>
          </cell>
          <cell r="G53" t="str">
            <v>Gastos Generales y otros</v>
          </cell>
          <cell r="H53">
            <v>397683</v>
          </cell>
          <cell r="I53">
            <v>599675</v>
          </cell>
          <cell r="J53">
            <v>724957.4</v>
          </cell>
          <cell r="K53">
            <v>853082.13</v>
          </cell>
          <cell r="L53">
            <v>1321978.2999999998</v>
          </cell>
          <cell r="M53">
            <v>1314492</v>
          </cell>
          <cell r="N53">
            <v>1211580</v>
          </cell>
          <cell r="O53">
            <v>1155934</v>
          </cell>
          <cell r="P53">
            <v>1244329.3651945342</v>
          </cell>
          <cell r="Q53">
            <v>1354873.0565585278</v>
          </cell>
          <cell r="R53">
            <v>1472016.9917866443</v>
          </cell>
          <cell r="S53">
            <v>1544550.6368710471</v>
          </cell>
          <cell r="T53">
            <v>1658472.7511600466</v>
          </cell>
          <cell r="U53">
            <v>0.90592167335646778</v>
          </cell>
          <cell r="V53">
            <v>1.0342382130819601</v>
          </cell>
          <cell r="W53">
            <v>0.98619085707361187</v>
          </cell>
          <cell r="X53">
            <v>0.95291073580592356</v>
          </cell>
          <cell r="Y53">
            <v>1.0648891940439915</v>
          </cell>
          <cell r="Z53">
            <v>0.92217160984993318</v>
          </cell>
          <cell r="AA53">
            <v>0.78949848034021197</v>
          </cell>
          <cell r="AB53">
            <v>0.6559437572152258</v>
          </cell>
        </row>
        <row r="54">
          <cell r="D54" t="str">
            <v xml:space="preserve"> 2.2.</v>
          </cell>
          <cell r="E54" t="str">
            <v xml:space="preserve"> PAGOS DE CAPITAL</v>
          </cell>
          <cell r="H54">
            <v>973048</v>
          </cell>
          <cell r="I54">
            <v>1339000</v>
          </cell>
          <cell r="J54">
            <v>1745900</v>
          </cell>
          <cell r="K54">
            <v>2316200</v>
          </cell>
          <cell r="L54">
            <v>3169400</v>
          </cell>
          <cell r="M54">
            <v>2280220</v>
          </cell>
          <cell r="N54">
            <v>2023098</v>
          </cell>
          <cell r="O54">
            <v>2352450.3295800001</v>
          </cell>
          <cell r="P54">
            <v>2152021</v>
          </cell>
          <cell r="Q54">
            <v>2212628</v>
          </cell>
          <cell r="R54">
            <v>2822357.0500000003</v>
          </cell>
          <cell r="S54">
            <v>3228776.47</v>
          </cell>
          <cell r="T54">
            <v>3693720.2800000003</v>
          </cell>
          <cell r="U54">
            <v>2.2166028530667998</v>
          </cell>
          <cell r="V54">
            <v>2.3093258303526816</v>
          </cell>
          <cell r="W54">
            <v>2.375023163243549</v>
          </cell>
          <cell r="X54">
            <v>2.587244262488162</v>
          </cell>
          <cell r="Y54">
            <v>2.5530372258024405</v>
          </cell>
          <cell r="Z54">
            <v>1.5996705557827773</v>
          </cell>
          <cell r="AA54">
            <v>1.3183056806643574</v>
          </cell>
          <cell r="AB54">
            <v>1.3349162736340496</v>
          </cell>
        </row>
        <row r="55">
          <cell r="E55" t="str">
            <v xml:space="preserve"> 2.2.1.</v>
          </cell>
          <cell r="F55" t="str">
            <v xml:space="preserve"> Formación bruta de Capital Fijo</v>
          </cell>
          <cell r="H55">
            <v>973048</v>
          </cell>
          <cell r="I55">
            <v>1309000</v>
          </cell>
          <cell r="J55">
            <v>1745900</v>
          </cell>
          <cell r="K55">
            <v>2316200</v>
          </cell>
          <cell r="L55">
            <v>3169400</v>
          </cell>
          <cell r="M55">
            <v>2280220</v>
          </cell>
          <cell r="N55">
            <v>2023098</v>
          </cell>
          <cell r="O55">
            <v>2352450.3295800001</v>
          </cell>
          <cell r="P55">
            <v>2152021</v>
          </cell>
          <cell r="Q55">
            <v>2212628</v>
          </cell>
          <cell r="R55">
            <v>2822357.0500000003</v>
          </cell>
          <cell r="S55">
            <v>3228776.47</v>
          </cell>
          <cell r="T55">
            <v>3693720.2800000003</v>
          </cell>
          <cell r="U55">
            <v>2.2166028530667998</v>
          </cell>
          <cell r="V55">
            <v>2.2575858938996718</v>
          </cell>
          <cell r="W55">
            <v>2.375023163243549</v>
          </cell>
          <cell r="X55">
            <v>2.587244262488162</v>
          </cell>
          <cell r="Y55">
            <v>2.5530372258024405</v>
          </cell>
          <cell r="Z55">
            <v>1.5996705557827773</v>
          </cell>
          <cell r="AA55">
            <v>1.3183056806643574</v>
          </cell>
          <cell r="AB55">
            <v>1.3349162736340496</v>
          </cell>
        </row>
        <row r="56">
          <cell r="E56" t="str">
            <v xml:space="preserve"> 2.1.1.</v>
          </cell>
          <cell r="F56" t="str">
            <v xml:space="preserve"> Otros</v>
          </cell>
          <cell r="H56">
            <v>0</v>
          </cell>
          <cell r="I56">
            <v>30000</v>
          </cell>
          <cell r="J56">
            <v>0</v>
          </cell>
          <cell r="K56">
            <v>0</v>
          </cell>
          <cell r="L56">
            <v>0</v>
          </cell>
          <cell r="M56">
            <v>0</v>
          </cell>
          <cell r="N56">
            <v>0</v>
          </cell>
          <cell r="O56">
            <v>0</v>
          </cell>
          <cell r="P56">
            <v>0</v>
          </cell>
          <cell r="Q56">
            <v>0</v>
          </cell>
          <cell r="R56">
            <v>0</v>
          </cell>
          <cell r="S56">
            <v>0</v>
          </cell>
          <cell r="T56">
            <v>0</v>
          </cell>
          <cell r="U56">
            <v>0</v>
          </cell>
          <cell r="V56">
            <v>5.1739936453010053E-2</v>
          </cell>
          <cell r="W56">
            <v>0</v>
          </cell>
          <cell r="X56">
            <v>0</v>
          </cell>
          <cell r="Y56">
            <v>0</v>
          </cell>
          <cell r="Z56">
            <v>0</v>
          </cell>
          <cell r="AA56">
            <v>0</v>
          </cell>
          <cell r="AB56">
            <v>0</v>
          </cell>
        </row>
        <row r="58">
          <cell r="C58" t="str">
            <v xml:space="preserve"> 3.</v>
          </cell>
          <cell r="D58" t="str">
            <v xml:space="preserve"> (DEFICIT) / SUPERAVIT REAL</v>
          </cell>
          <cell r="H58">
            <v>-138732.73306045774</v>
          </cell>
          <cell r="I58">
            <v>-797537</v>
          </cell>
          <cell r="J58">
            <v>-1766600.790000001</v>
          </cell>
          <cell r="K58">
            <v>-3314430.08</v>
          </cell>
          <cell r="L58">
            <v>-4301445.309135465</v>
          </cell>
          <cell r="M58">
            <v>-6608988</v>
          </cell>
          <cell r="N58">
            <v>-7629774</v>
          </cell>
          <cell r="O58">
            <v>-8736066.727455169</v>
          </cell>
          <cell r="P58">
            <v>-7348851.8256972879</v>
          </cell>
          <cell r="Q58">
            <v>-7973097.6963690035</v>
          </cell>
          <cell r="R58">
            <v>-8533599.4234692529</v>
          </cell>
          <cell r="S58">
            <v>-9499962.9838543236</v>
          </cell>
          <cell r="T58">
            <v>-10172907.909528606</v>
          </cell>
          <cell r="U58">
            <v>-0.31603309591671264</v>
          </cell>
          <cell r="V58">
            <v>-1.3754837899641426</v>
          </cell>
          <cell r="W58">
            <v>-2.4031833418032846</v>
          </cell>
          <cell r="X58">
            <v>-3.7022883204810375</v>
          </cell>
          <cell r="Y58">
            <v>-3.464930270390651</v>
          </cell>
          <cell r="Z58">
            <v>-4.6364839827392554</v>
          </cell>
          <cell r="AA58">
            <v>-4.9717682516542538</v>
          </cell>
          <cell r="AB58">
            <v>-4.9573491501157214</v>
          </cell>
        </row>
        <row r="60">
          <cell r="C60" t="str">
            <v xml:space="preserve"> 4.</v>
          </cell>
          <cell r="D60" t="str">
            <v xml:space="preserve"> PRESTAMO NETO</v>
          </cell>
          <cell r="H60">
            <v>96184.1</v>
          </cell>
          <cell r="I60">
            <v>129400</v>
          </cell>
          <cell r="J60">
            <v>172000</v>
          </cell>
          <cell r="K60">
            <v>385074.61</v>
          </cell>
          <cell r="L60">
            <v>248214.72892595999</v>
          </cell>
          <cell r="M60">
            <v>321089.15788879001</v>
          </cell>
          <cell r="N60">
            <v>259276.78503759997</v>
          </cell>
          <cell r="O60">
            <v>302834.40776999999</v>
          </cell>
          <cell r="P60">
            <v>1393080.9171751225</v>
          </cell>
          <cell r="Q60">
            <v>550863.16884596727</v>
          </cell>
          <cell r="R60">
            <v>159563.92936776136</v>
          </cell>
          <cell r="S60">
            <v>198341.09975731745</v>
          </cell>
          <cell r="T60">
            <v>272650.99781816173</v>
          </cell>
          <cell r="U60">
            <v>0.2191073312721083</v>
          </cell>
          <cell r="V60">
            <v>0.22317159256731667</v>
          </cell>
          <cell r="W60">
            <v>0.23397902748031985</v>
          </cell>
          <cell r="X60">
            <v>0.43013646289282725</v>
          </cell>
          <cell r="Y60">
            <v>0.19994366218856491</v>
          </cell>
          <cell r="Z60">
            <v>0.2252575942916844</v>
          </cell>
          <cell r="AA60">
            <v>0.16895180489499742</v>
          </cell>
          <cell r="AB60">
            <v>0.17184574486666329</v>
          </cell>
        </row>
        <row r="62">
          <cell r="C62" t="str">
            <v xml:space="preserve"> 5.</v>
          </cell>
          <cell r="D62" t="str">
            <v xml:space="preserve"> (DEFICIT) / SUPERAVIT (3-4)</v>
          </cell>
          <cell r="H62">
            <v>-234916.83306045775</v>
          </cell>
          <cell r="I62">
            <v>-926937</v>
          </cell>
          <cell r="J62">
            <v>-1938600.790000001</v>
          </cell>
          <cell r="K62">
            <v>-3699504.69</v>
          </cell>
          <cell r="L62">
            <v>-4549660.0380614251</v>
          </cell>
          <cell r="M62">
            <v>-6930077.1578887897</v>
          </cell>
          <cell r="N62">
            <v>-7889050.7850375995</v>
          </cell>
          <cell r="O62">
            <v>-9038901.1352251694</v>
          </cell>
          <cell r="P62">
            <v>-8741932.7428724095</v>
          </cell>
          <cell r="Q62">
            <v>-8523960.86521497</v>
          </cell>
          <cell r="R62">
            <v>-8693163.3528370149</v>
          </cell>
          <cell r="S62">
            <v>-9698304.0836116411</v>
          </cell>
          <cell r="T62">
            <v>-10445558.907346766</v>
          </cell>
          <cell r="U62">
            <v>-0.53514042718882093</v>
          </cell>
          <cell r="V62">
            <v>-1.5986553825314591</v>
          </cell>
          <cell r="W62">
            <v>-2.6371623692836046</v>
          </cell>
          <cell r="X62">
            <v>-4.1324247833738648</v>
          </cell>
          <cell r="Y62">
            <v>-3.6648739325792157</v>
          </cell>
          <cell r="Z62">
            <v>-4.8617415770309398</v>
          </cell>
          <cell r="AA62">
            <v>-5.1407200565492506</v>
          </cell>
          <cell r="AB62">
            <v>-5.1291948949823851</v>
          </cell>
        </row>
        <row r="64">
          <cell r="C64" t="str">
            <v xml:space="preserve"> 6.</v>
          </cell>
          <cell r="D64" t="str">
            <v xml:space="preserve"> FINANCIAMIENTO</v>
          </cell>
          <cell r="H64">
            <v>234916.83306045775</v>
          </cell>
          <cell r="I64">
            <v>926937</v>
          </cell>
          <cell r="J64">
            <v>1938600.790000001</v>
          </cell>
          <cell r="K64">
            <v>3699504.69</v>
          </cell>
          <cell r="L64">
            <v>4549660.0380614251</v>
          </cell>
          <cell r="M64">
            <v>6930077.1578887897</v>
          </cell>
          <cell r="N64">
            <v>7889050.7850375995</v>
          </cell>
          <cell r="O64">
            <v>9038901.1352251694</v>
          </cell>
          <cell r="P64">
            <v>8741932.7428724095</v>
          </cell>
          <cell r="Q64">
            <v>8523960.86521497</v>
          </cell>
          <cell r="R64">
            <v>8693163.3528370149</v>
          </cell>
          <cell r="S64">
            <v>9698304.0836116411</v>
          </cell>
          <cell r="T64">
            <v>10445558.907346766</v>
          </cell>
          <cell r="U64">
            <v>0.53514042718882093</v>
          </cell>
          <cell r="V64">
            <v>1.5986553825314591</v>
          </cell>
          <cell r="W64">
            <v>2.6371623692836046</v>
          </cell>
          <cell r="X64">
            <v>4.1324247833738648</v>
          </cell>
          <cell r="Y64">
            <v>3.6648739325792157</v>
          </cell>
          <cell r="Z64">
            <v>4.8617415770309398</v>
          </cell>
          <cell r="AA64">
            <v>5.1407200565492506</v>
          </cell>
          <cell r="AB64">
            <v>5.1291948949823851</v>
          </cell>
        </row>
        <row r="65">
          <cell r="D65" t="str">
            <v xml:space="preserve"> 6.1.</v>
          </cell>
          <cell r="E65" t="str">
            <v xml:space="preserve"> CREDITO EXTERNO NETO</v>
          </cell>
          <cell r="H65">
            <v>-281000</v>
          </cell>
          <cell r="I65">
            <v>119500</v>
          </cell>
          <cell r="J65">
            <v>223200</v>
          </cell>
          <cell r="K65">
            <v>1079814</v>
          </cell>
          <cell r="L65">
            <v>1096414</v>
          </cell>
          <cell r="M65">
            <v>2657500</v>
          </cell>
          <cell r="N65">
            <v>3116594</v>
          </cell>
          <cell r="O65">
            <v>1951997.6952539999</v>
          </cell>
          <cell r="P65">
            <v>2246137</v>
          </cell>
          <cell r="Q65">
            <v>2359507</v>
          </cell>
          <cell r="R65">
            <v>2898600.0920546278</v>
          </cell>
          <cell r="S65">
            <v>3315998.5102401618</v>
          </cell>
          <cell r="T65">
            <v>3793502.2939893613</v>
          </cell>
          <cell r="U65">
            <v>-0.64011785822669676</v>
          </cell>
          <cell r="V65">
            <v>0.20609741353782335</v>
          </cell>
          <cell r="W65">
            <v>0.30362859845120577</v>
          </cell>
          <cell r="X65">
            <v>1.2061750177248909</v>
          </cell>
          <cell r="Y65">
            <v>0.88319106357384902</v>
          </cell>
          <cell r="Z65">
            <v>1.864348397081304</v>
          </cell>
          <cell r="AA65">
            <v>2.0308574149766607</v>
          </cell>
          <cell r="AB65">
            <v>1.1076763053084087</v>
          </cell>
        </row>
        <row r="66">
          <cell r="E66" t="str">
            <v xml:space="preserve"> 6.1.1.</v>
          </cell>
          <cell r="F66" t="str">
            <v xml:space="preserve"> Mediano y Largo Plazo</v>
          </cell>
          <cell r="H66">
            <v>-281000</v>
          </cell>
          <cell r="I66">
            <v>119500</v>
          </cell>
          <cell r="J66">
            <v>223200</v>
          </cell>
          <cell r="K66">
            <v>1079814</v>
          </cell>
          <cell r="L66">
            <v>1096414</v>
          </cell>
          <cell r="M66">
            <v>2657500</v>
          </cell>
          <cell r="N66">
            <v>3116594</v>
          </cell>
          <cell r="O66">
            <v>1951997.6952539999</v>
          </cell>
          <cell r="P66">
            <v>2246137</v>
          </cell>
          <cell r="Q66">
            <v>2359507</v>
          </cell>
          <cell r="R66">
            <v>2898600.0920546278</v>
          </cell>
          <cell r="S66">
            <v>3315998.5102401618</v>
          </cell>
          <cell r="T66">
            <v>3793502.2939893613</v>
          </cell>
          <cell r="U66">
            <v>-0.64011785822669676</v>
          </cell>
          <cell r="V66">
            <v>0.20609741353782335</v>
          </cell>
          <cell r="W66">
            <v>0.30362859845120577</v>
          </cell>
          <cell r="X66">
            <v>1.2061750177248909</v>
          </cell>
          <cell r="Y66">
            <v>0.88319106357384902</v>
          </cell>
          <cell r="Z66">
            <v>1.864348397081304</v>
          </cell>
          <cell r="AA66">
            <v>2.0308574149766607</v>
          </cell>
          <cell r="AB66">
            <v>1.1076763053084087</v>
          </cell>
        </row>
        <row r="67">
          <cell r="F67" t="str">
            <v xml:space="preserve"> 6.1.1.1.</v>
          </cell>
          <cell r="G67" t="str">
            <v xml:space="preserve"> Desembolsos</v>
          </cell>
          <cell r="H67">
            <v>397000</v>
          </cell>
          <cell r="I67">
            <v>791500</v>
          </cell>
          <cell r="J67">
            <v>847900</v>
          </cell>
          <cell r="K67">
            <v>1819962</v>
          </cell>
          <cell r="L67">
            <v>1889514</v>
          </cell>
          <cell r="M67">
            <v>3663300</v>
          </cell>
          <cell r="N67">
            <v>4711114</v>
          </cell>
          <cell r="O67">
            <v>4094839</v>
          </cell>
          <cell r="P67">
            <v>7304402</v>
          </cell>
          <cell r="Q67">
            <v>7080917</v>
          </cell>
          <cell r="R67">
            <v>8698743.7070672754</v>
          </cell>
          <cell r="S67">
            <v>9951362.8156789709</v>
          </cell>
          <cell r="T67">
            <v>11384359.055958839</v>
          </cell>
          <cell r="U67">
            <v>0.90436579970106268</v>
          </cell>
          <cell r="V67">
            <v>1.3650719900852486</v>
          </cell>
          <cell r="W67">
            <v>1.1534349848869954</v>
          </cell>
          <cell r="X67">
            <v>2.0329359478656763</v>
          </cell>
          <cell r="Y67">
            <v>1.5220545152631013</v>
          </cell>
          <cell r="Z67">
            <v>2.5699595420613135</v>
          </cell>
          <cell r="AA67">
            <v>3.0698900144517882</v>
          </cell>
          <cell r="AB67">
            <v>2.3236483041864311</v>
          </cell>
        </row>
        <row r="68">
          <cell r="F68" t="str">
            <v xml:space="preserve"> 6.1.1.2.</v>
          </cell>
          <cell r="G68" t="str">
            <v xml:space="preserve"> Amortizaciones</v>
          </cell>
          <cell r="H68">
            <v>678000</v>
          </cell>
          <cell r="I68">
            <v>672000</v>
          </cell>
          <cell r="J68">
            <v>624700</v>
          </cell>
          <cell r="K68">
            <v>740148</v>
          </cell>
          <cell r="L68">
            <v>793100</v>
          </cell>
          <cell r="M68">
            <v>1005800</v>
          </cell>
          <cell r="N68">
            <v>1594520</v>
          </cell>
          <cell r="O68">
            <v>2142841.3047460001</v>
          </cell>
          <cell r="P68">
            <v>5058265</v>
          </cell>
          <cell r="Q68">
            <v>4721410</v>
          </cell>
          <cell r="R68">
            <v>5800143.6150126476</v>
          </cell>
          <cell r="S68">
            <v>6635364.3054388091</v>
          </cell>
          <cell r="T68">
            <v>7590856.7619694779</v>
          </cell>
          <cell r="U68">
            <v>1.5444836579277594</v>
          </cell>
          <cell r="V68">
            <v>1.1589745765474251</v>
          </cell>
          <cell r="W68">
            <v>0.84980638643578965</v>
          </cell>
          <cell r="X68">
            <v>0.82676093014078578</v>
          </cell>
          <cell r="Y68">
            <v>0.63886345168925207</v>
          </cell>
          <cell r="Z68">
            <v>0.70561114498000954</v>
          </cell>
          <cell r="AA68">
            <v>1.0390325994751273</v>
          </cell>
          <cell r="AB68">
            <v>1.2159719988780227</v>
          </cell>
        </row>
        <row r="69">
          <cell r="E69" t="str">
            <v xml:space="preserve"> 6.1.2.</v>
          </cell>
          <cell r="F69" t="str">
            <v xml:space="preserve"> Corto Plazo Neto</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t="str">
            <v xml:space="preserve"> 6.2.</v>
          </cell>
          <cell r="E70" t="str">
            <v xml:space="preserve"> CREDITO INTERNO NETO</v>
          </cell>
          <cell r="H70">
            <v>484000</v>
          </cell>
          <cell r="I70">
            <v>235200</v>
          </cell>
          <cell r="J70">
            <v>1755400</v>
          </cell>
          <cell r="K70">
            <v>1790859</v>
          </cell>
          <cell r="L70">
            <v>3517900</v>
          </cell>
          <cell r="M70">
            <v>3985000</v>
          </cell>
          <cell r="N70">
            <v>4804244</v>
          </cell>
          <cell r="O70">
            <v>5272589.5999999996</v>
          </cell>
          <cell r="P70">
            <v>2875616</v>
          </cell>
          <cell r="Q70">
            <v>3462251</v>
          </cell>
          <cell r="R70">
            <v>5794563.2607823871</v>
          </cell>
          <cell r="S70">
            <v>6382305.5733714774</v>
          </cell>
          <cell r="T70">
            <v>6652056.6133574042</v>
          </cell>
          <cell r="U70">
            <v>1.1025517558068372</v>
          </cell>
          <cell r="V70">
            <v>0.40564110179159873</v>
          </cell>
          <cell r="W70">
            <v>2.3879464234822878</v>
          </cell>
          <cell r="X70">
            <v>2.000427282909631</v>
          </cell>
          <cell r="Y70">
            <v>2.8337633800247382</v>
          </cell>
          <cell r="Z70">
            <v>2.7956456678716823</v>
          </cell>
          <cell r="AA70">
            <v>3.130576055385184</v>
          </cell>
          <cell r="AB70">
            <v>2.9919720611020391</v>
          </cell>
        </row>
        <row r="71">
          <cell r="E71" t="str">
            <v xml:space="preserve"> 6.2.1.</v>
          </cell>
          <cell r="F71" t="str">
            <v xml:space="preserve"> Desembolsos</v>
          </cell>
          <cell r="H71">
            <v>722000</v>
          </cell>
          <cell r="I71">
            <v>1633300</v>
          </cell>
          <cell r="J71">
            <v>2510800</v>
          </cell>
          <cell r="K71">
            <v>3874081</v>
          </cell>
          <cell r="L71">
            <v>6918965</v>
          </cell>
          <cell r="M71">
            <v>7708700</v>
          </cell>
          <cell r="N71">
            <v>11396854</v>
          </cell>
          <cell r="O71">
            <v>11729855</v>
          </cell>
          <cell r="P71">
            <v>9900804</v>
          </cell>
          <cell r="Q71">
            <v>12607011</v>
          </cell>
          <cell r="R71">
            <v>14910296.678260127</v>
          </cell>
          <cell r="S71">
            <v>18065715.92827341</v>
          </cell>
          <cell r="T71">
            <v>20784079.36663647</v>
          </cell>
          <cell r="U71">
            <v>1.6447156357283812</v>
          </cell>
          <cell r="V71">
            <v>2.8168946069567102</v>
          </cell>
          <cell r="W71">
            <v>3.4155496639394602</v>
          </cell>
          <cell r="X71">
            <v>4.3274302045006481</v>
          </cell>
          <cell r="Y71">
            <v>5.5734130147738323</v>
          </cell>
          <cell r="Z71">
            <v>5.4079783588262078</v>
          </cell>
          <cell r="AA71">
            <v>7.4265000360349847</v>
          </cell>
          <cell r="AB71">
            <v>6.6561976378320935</v>
          </cell>
        </row>
        <row r="72">
          <cell r="E72" t="str">
            <v xml:space="preserve"> 6.2.2.</v>
          </cell>
          <cell r="F72" t="str">
            <v xml:space="preserve"> Amortizaciones</v>
          </cell>
          <cell r="H72">
            <v>238000</v>
          </cell>
          <cell r="I72">
            <v>1398100</v>
          </cell>
          <cell r="J72">
            <v>755400</v>
          </cell>
          <cell r="K72">
            <v>2083222</v>
          </cell>
          <cell r="L72">
            <v>3401065</v>
          </cell>
          <cell r="M72">
            <v>3723700</v>
          </cell>
          <cell r="N72">
            <v>6592610</v>
          </cell>
          <cell r="O72">
            <v>6457265.4000000004</v>
          </cell>
          <cell r="P72">
            <v>7025188</v>
          </cell>
          <cell r="Q72">
            <v>9144760</v>
          </cell>
          <cell r="R72">
            <v>9115733.41747774</v>
          </cell>
          <cell r="S72">
            <v>11683410.354901932</v>
          </cell>
          <cell r="T72">
            <v>14132022.753279066</v>
          </cell>
          <cell r="U72">
            <v>0.54216387992154391</v>
          </cell>
          <cell r="V72">
            <v>2.4112535051651114</v>
          </cell>
          <cell r="W72">
            <v>1.0276032404571722</v>
          </cell>
          <cell r="X72">
            <v>2.3270029215910171</v>
          </cell>
          <cell r="Y72">
            <v>2.7396496347490937</v>
          </cell>
          <cell r="Z72">
            <v>2.6123326909545255</v>
          </cell>
          <cell r="AA72">
            <v>4.2959239806498006</v>
          </cell>
          <cell r="AB72">
            <v>3.664225576730054</v>
          </cell>
        </row>
        <row r="73">
          <cell r="D73" t="str">
            <v xml:space="preserve"> 6.3.</v>
          </cell>
          <cell r="E73" t="str">
            <v>OTROS RECURSOS</v>
          </cell>
          <cell r="H73">
            <v>31916.83306045772</v>
          </cell>
          <cell r="I73">
            <v>572237</v>
          </cell>
          <cell r="J73">
            <v>-39999.209999999031</v>
          </cell>
          <cell r="K73">
            <v>828831.69</v>
          </cell>
          <cell r="L73">
            <v>-64653.96193857491</v>
          </cell>
          <cell r="M73">
            <v>287577.15788878966</v>
          </cell>
          <cell r="N73">
            <v>-31787.214962400496</v>
          </cell>
          <cell r="O73">
            <v>1814313.8399711698</v>
          </cell>
          <cell r="P73">
            <v>3620179.7428724095</v>
          </cell>
          <cell r="Q73">
            <v>2702202.86521497</v>
          </cell>
          <cell r="R73">
            <v>0</v>
          </cell>
          <cell r="S73">
            <v>1.862645149230957E-9</v>
          </cell>
          <cell r="T73">
            <v>9.3132257461547852E-10</v>
          </cell>
          <cell r="U73">
            <v>7.2706529608680515E-2</v>
          </cell>
          <cell r="V73">
            <v>0.98691686720203708</v>
          </cell>
          <cell r="W73">
            <v>-5.4412652649888704E-2</v>
          </cell>
          <cell r="X73">
            <v>0.9258224827393432</v>
          </cell>
          <cell r="Y73">
            <v>-5.2080511019371445E-2</v>
          </cell>
          <cell r="Z73">
            <v>0.20174751207795374</v>
          </cell>
          <cell r="AA73">
            <v>-2.0713413812594166E-2</v>
          </cell>
          <cell r="AB73">
            <v>1.0295465285719367</v>
          </cell>
        </row>
        <row r="74">
          <cell r="E74" t="str">
            <v xml:space="preserve"> 6.3.1.</v>
          </cell>
          <cell r="F74" t="str">
            <v>Telefonía</v>
          </cell>
          <cell r="H74">
            <v>0</v>
          </cell>
          <cell r="K74">
            <v>90000</v>
          </cell>
          <cell r="L74">
            <v>91614</v>
          </cell>
          <cell r="M74">
            <v>111391</v>
          </cell>
          <cell r="N74">
            <v>138701</v>
          </cell>
          <cell r="O74">
            <v>193889.75599999996</v>
          </cell>
          <cell r="P74">
            <v>215254.33600000001</v>
          </cell>
          <cell r="Q74">
            <v>238515.96599999999</v>
          </cell>
          <cell r="R74">
            <v>0</v>
          </cell>
          <cell r="S74">
            <v>0</v>
          </cell>
          <cell r="T74">
            <v>0</v>
          </cell>
          <cell r="U74">
            <v>0</v>
          </cell>
          <cell r="V74">
            <v>0</v>
          </cell>
          <cell r="W74">
            <v>0</v>
          </cell>
          <cell r="X74">
            <v>0.10053189863739512</v>
          </cell>
          <cell r="Y74">
            <v>7.3797549190592782E-2</v>
          </cell>
          <cell r="Z74">
            <v>7.8145487224565768E-2</v>
          </cell>
          <cell r="AA74">
            <v>9.0381343965456468E-2</v>
          </cell>
          <cell r="AB74">
            <v>0.11002425314609948</v>
          </cell>
        </row>
        <row r="75">
          <cell r="E75" t="str">
            <v xml:space="preserve"> 6.3.2.</v>
          </cell>
          <cell r="F75" t="str">
            <v>Privatizaciones y concesiones</v>
          </cell>
          <cell r="H75">
            <v>0</v>
          </cell>
          <cell r="I75">
            <v>1412500</v>
          </cell>
          <cell r="J75">
            <v>5900</v>
          </cell>
          <cell r="K75">
            <v>733300</v>
          </cell>
          <cell r="L75">
            <v>429765</v>
          </cell>
          <cell r="M75">
            <v>0</v>
          </cell>
          <cell r="N75">
            <v>1100379</v>
          </cell>
          <cell r="O75">
            <v>4027199</v>
          </cell>
          <cell r="P75">
            <v>625713</v>
          </cell>
          <cell r="Q75">
            <v>0</v>
          </cell>
          <cell r="R75">
            <v>0</v>
          </cell>
          <cell r="S75">
            <v>0</v>
          </cell>
          <cell r="T75">
            <v>0</v>
          </cell>
          <cell r="U75">
            <v>0</v>
          </cell>
          <cell r="V75">
            <v>2.4360886746625567</v>
          </cell>
          <cell r="W75">
            <v>8.0260247798481822E-3</v>
          </cell>
          <cell r="X75">
            <v>0.81911156967557597</v>
          </cell>
          <cell r="Y75">
            <v>0.34618730464661635</v>
          </cell>
          <cell r="Z75">
            <v>0</v>
          </cell>
          <cell r="AA75">
            <v>0.71703688431492929</v>
          </cell>
          <cell r="AB75">
            <v>2.2852654590256885</v>
          </cell>
        </row>
        <row r="76">
          <cell r="E76" t="str">
            <v xml:space="preserve"> 6.3.3.</v>
          </cell>
          <cell r="F76" t="str">
            <v>Fondo Comunicaciones</v>
          </cell>
          <cell r="H76">
            <v>0</v>
          </cell>
          <cell r="I76">
            <v>0</v>
          </cell>
          <cell r="J76">
            <v>0</v>
          </cell>
          <cell r="K76">
            <v>0</v>
          </cell>
          <cell r="L76">
            <v>0</v>
          </cell>
          <cell r="M76">
            <v>0</v>
          </cell>
          <cell r="N76">
            <v>0</v>
          </cell>
          <cell r="U76">
            <v>0</v>
          </cell>
          <cell r="V76">
            <v>0</v>
          </cell>
          <cell r="W76">
            <v>0</v>
          </cell>
          <cell r="X76">
            <v>0</v>
          </cell>
          <cell r="Y76">
            <v>0</v>
          </cell>
          <cell r="Z76">
            <v>0</v>
          </cell>
          <cell r="AA76">
            <v>0</v>
          </cell>
          <cell r="AB76">
            <v>0</v>
          </cell>
        </row>
        <row r="77">
          <cell r="E77" t="str">
            <v xml:space="preserve"> 6.3.4.</v>
          </cell>
          <cell r="F77" t="str">
            <v>Faltante</v>
          </cell>
          <cell r="K77">
            <v>76882.689999999944</v>
          </cell>
          <cell r="L77">
            <v>-73746.96193857491</v>
          </cell>
          <cell r="M77">
            <v>19880.157888789661</v>
          </cell>
          <cell r="N77">
            <v>-2662266.2149624005</v>
          </cell>
          <cell r="O77">
            <v>-1693197.9160288302</v>
          </cell>
          <cell r="P77">
            <v>3197389.4068724094</v>
          </cell>
          <cell r="Q77">
            <v>2263686.8992149699</v>
          </cell>
          <cell r="R77">
            <v>0</v>
          </cell>
          <cell r="S77">
            <v>1.862645149230957E-9</v>
          </cell>
          <cell r="T77">
            <v>9.3132257461547852E-10</v>
          </cell>
          <cell r="U77">
            <v>0</v>
          </cell>
          <cell r="V77">
            <v>0</v>
          </cell>
          <cell r="W77">
            <v>0</v>
          </cell>
          <cell r="X77">
            <v>8.5879586645002948E-2</v>
          </cell>
          <cell r="Y77">
            <v>-5.9405167892666581E-2</v>
          </cell>
          <cell r="Z77">
            <v>1.3946769705997458E-2</v>
          </cell>
          <cell r="AA77">
            <v>-1.7348050735187963</v>
          </cell>
          <cell r="AB77">
            <v>-0.96081835359885726</v>
          </cell>
        </row>
        <row r="78">
          <cell r="E78" t="str">
            <v xml:space="preserve"> 6.3.5</v>
          </cell>
          <cell r="F78" t="str">
            <v>Otros</v>
          </cell>
          <cell r="H78">
            <v>31916.83306045772</v>
          </cell>
          <cell r="I78">
            <v>-840263</v>
          </cell>
          <cell r="J78">
            <v>-45899.209999999031</v>
          </cell>
          <cell r="K78">
            <v>-71351</v>
          </cell>
          <cell r="L78">
            <v>-512286</v>
          </cell>
          <cell r="M78">
            <v>156306</v>
          </cell>
          <cell r="N78">
            <v>1391399</v>
          </cell>
          <cell r="O78">
            <v>-713577</v>
          </cell>
          <cell r="P78">
            <v>-418176.99999999988</v>
          </cell>
          <cell r="Q78">
            <v>200000.00000000003</v>
          </cell>
          <cell r="R78">
            <v>0</v>
          </cell>
          <cell r="S78">
            <v>0</v>
          </cell>
          <cell r="T78">
            <v>0</v>
          </cell>
          <cell r="U78">
            <v>7.2706529608680515E-2</v>
          </cell>
          <cell r="V78">
            <v>-1.4491718074605193</v>
          </cell>
          <cell r="W78">
            <v>-6.2438677429736883E-2</v>
          </cell>
          <cell r="X78">
            <v>-7.9700572218630875E-2</v>
          </cell>
          <cell r="Y78">
            <v>-0.41266019696391404</v>
          </cell>
          <cell r="AA78">
            <v>0.90667343142581625</v>
          </cell>
          <cell r="AB78">
            <v>-0.40492483000099416</v>
          </cell>
        </row>
        <row r="79">
          <cell r="D79" t="str">
            <v>DEFICIT REAL / PIB</v>
          </cell>
          <cell r="H79">
            <v>-3.1603309591671266E-3</v>
          </cell>
          <cell r="I79">
            <v>-1.3754837899641425E-2</v>
          </cell>
          <cell r="J79">
            <v>-2.4031833418032847E-2</v>
          </cell>
          <cell r="K79">
            <v>-3.7022883204810376E-2</v>
          </cell>
          <cell r="L79">
            <v>-3.4649302703906509E-2</v>
          </cell>
          <cell r="M79">
            <v>-4.6364839827392555E-2</v>
          </cell>
          <cell r="N79">
            <v>-4.9717682516542537E-2</v>
          </cell>
          <cell r="O79">
            <v>-4.957349150115721E-2</v>
          </cell>
          <cell r="P79">
            <v>-3.5869029695593177E-2</v>
          </cell>
          <cell r="Q79">
            <v>-3.4704210002917429E-2</v>
          </cell>
          <cell r="R79">
            <v>-3.0235718841700957E-2</v>
          </cell>
          <cell r="S79">
            <v>-2.9422795514408354E-2</v>
          </cell>
          <cell r="T79">
            <v>-2.7541089033218849E-2</v>
          </cell>
        </row>
        <row r="80">
          <cell r="D80" t="str">
            <v>PIB NOMINAL</v>
          </cell>
          <cell r="H80">
            <v>43898166</v>
          </cell>
          <cell r="I80">
            <v>57982290</v>
          </cell>
          <cell r="J80">
            <v>73510862</v>
          </cell>
          <cell r="K80">
            <v>89523824</v>
          </cell>
          <cell r="L80">
            <v>124142334</v>
          </cell>
          <cell r="M80">
            <v>142543100</v>
          </cell>
          <cell r="N80">
            <v>153461980</v>
          </cell>
          <cell r="O80">
            <v>176224560</v>
          </cell>
          <cell r="P80">
            <v>204880140</v>
          </cell>
          <cell r="Q80">
            <v>229744394</v>
          </cell>
          <cell r="R80">
            <v>282235705</v>
          </cell>
          <cell r="S80">
            <v>322877647</v>
          </cell>
          <cell r="T80">
            <v>369372028</v>
          </cell>
        </row>
        <row r="82">
          <cell r="H82">
            <v>36504.734179629631</v>
          </cell>
        </row>
        <row r="83">
          <cell r="H83">
            <v>36504.734179629631</v>
          </cell>
        </row>
        <row r="154">
          <cell r="AK154" t="str">
            <v/>
          </cell>
        </row>
        <row r="156">
          <cell r="AY156">
            <v>36504.734179629631</v>
          </cell>
        </row>
        <row r="158">
          <cell r="AP158" t="str">
            <v>1998</v>
          </cell>
          <cell r="AU158" t="str">
            <v/>
          </cell>
          <cell r="AW158" t="str">
            <v>PORCENTAJE DEL PIB</v>
          </cell>
          <cell r="AX158" t="str">
            <v/>
          </cell>
          <cell r="AZ158" t="str">
            <v>1998</v>
          </cell>
          <cell r="BB158" t="str">
            <v/>
          </cell>
        </row>
        <row r="159">
          <cell r="AH159" t="str">
            <v>CONCEPTOS</v>
          </cell>
          <cell r="AK159" t="str">
            <v xml:space="preserve">        1993</v>
          </cell>
          <cell r="AL159" t="str">
            <v xml:space="preserve">        1994</v>
          </cell>
          <cell r="AM159" t="str">
            <v xml:space="preserve">        1995</v>
          </cell>
          <cell r="AN159" t="str">
            <v xml:space="preserve">        1996</v>
          </cell>
          <cell r="AO159" t="str">
            <v xml:space="preserve">        1997</v>
          </cell>
          <cell r="AP159" t="str">
            <v>Revisión</v>
          </cell>
          <cell r="AQ159" t="str">
            <v>Con Reforma</v>
          </cell>
          <cell r="AS159" t="str">
            <v xml:space="preserve">        1999</v>
          </cell>
          <cell r="AT159" t="str">
            <v xml:space="preserve">        2000</v>
          </cell>
          <cell r="AU159" t="str">
            <v xml:space="preserve">        1993</v>
          </cell>
          <cell r="AV159" t="str">
            <v xml:space="preserve">        1994</v>
          </cell>
          <cell r="AW159" t="str">
            <v xml:space="preserve">        1995</v>
          </cell>
          <cell r="AX159" t="str">
            <v xml:space="preserve">        1996</v>
          </cell>
          <cell r="AY159" t="str">
            <v xml:space="preserve">        1997</v>
          </cell>
          <cell r="AZ159" t="str">
            <v>Revisión</v>
          </cell>
          <cell r="BA159" t="str">
            <v>Con Reforma</v>
          </cell>
          <cell r="BB159" t="str">
            <v xml:space="preserve">        2000</v>
          </cell>
        </row>
        <row r="160">
          <cell r="AP160" t="str">
            <v>Sin Reforma</v>
          </cell>
          <cell r="AZ160" t="str">
            <v>Sin Reforma</v>
          </cell>
        </row>
        <row r="162">
          <cell r="AK162">
            <v>5907600.3079954172</v>
          </cell>
          <cell r="AL162">
            <v>7700800</v>
          </cell>
          <cell r="AM162">
            <v>9523699.209999999</v>
          </cell>
          <cell r="AN162">
            <v>12048768</v>
          </cell>
          <cell r="AO162">
            <v>15287795.690864535</v>
          </cell>
          <cell r="AP162">
            <v>16883418</v>
          </cell>
          <cell r="AQ162">
            <v>17191608</v>
          </cell>
          <cell r="AS162">
            <v>20104461</v>
          </cell>
          <cell r="AT162">
            <v>22954281.374545835</v>
          </cell>
          <cell r="AU162" t="e">
            <v>#DIV/0!</v>
          </cell>
          <cell r="AV162" t="e">
            <v>#DIV/0!</v>
          </cell>
          <cell r="AW162" t="e">
            <v>#DIV/0!</v>
          </cell>
          <cell r="AX162">
            <v>13.458728036460998</v>
          </cell>
          <cell r="AY162">
            <v>12.314731967955858</v>
          </cell>
          <cell r="AZ162">
            <v>11.844430210932694</v>
          </cell>
          <cell r="BA162">
            <v>12.060638501618106</v>
          </cell>
          <cell r="BB162" t="e">
            <v>#DIV/0!</v>
          </cell>
        </row>
        <row r="163">
          <cell r="AH163" t="str">
            <v>INGRESOS CORRIENTES</v>
          </cell>
          <cell r="AK163">
            <v>5263700.6850998439</v>
          </cell>
          <cell r="AL163">
            <v>6861486</v>
          </cell>
          <cell r="AM163">
            <v>8461545.209999999</v>
          </cell>
          <cell r="AN163">
            <v>10503503</v>
          </cell>
          <cell r="AO163">
            <v>13687699.342834629</v>
          </cell>
          <cell r="AP163">
            <v>15006976</v>
          </cell>
          <cell r="AQ163">
            <v>14966094</v>
          </cell>
          <cell r="AS163">
            <v>16400237</v>
          </cell>
          <cell r="AT163">
            <v>20121494.774545837</v>
          </cell>
          <cell r="AU163" t="e">
            <v>#DIV/0!</v>
          </cell>
          <cell r="AV163" t="e">
            <v>#DIV/0!</v>
          </cell>
          <cell r="AW163" t="e">
            <v>#DIV/0!</v>
          </cell>
          <cell r="AX163">
            <v>11.732634432595283</v>
          </cell>
          <cell r="AY163">
            <v>11.025811181248315</v>
          </cell>
          <cell r="AZ163">
            <v>10.528026961669838</v>
          </cell>
          <cell r="BA163">
            <v>10.499346513440496</v>
          </cell>
          <cell r="BB163" t="e">
            <v>#DIV/0!</v>
          </cell>
        </row>
        <row r="164">
          <cell r="AH164" t="str">
            <v xml:space="preserve">  1.1.1.</v>
          </cell>
          <cell r="AI164" t="str">
            <v>TRIBUTARIOS</v>
          </cell>
          <cell r="AK164">
            <v>5051354.6850998439</v>
          </cell>
          <cell r="AL164">
            <v>6731364</v>
          </cell>
          <cell r="AM164">
            <v>8229679.2799999993</v>
          </cell>
          <cell r="AN164">
            <v>10171715</v>
          </cell>
          <cell r="AO164">
            <v>13148299.554000001</v>
          </cell>
          <cell r="AP164">
            <v>14825238</v>
          </cell>
          <cell r="AQ164">
            <v>14784356</v>
          </cell>
          <cell r="AS164">
            <v>16128233</v>
          </cell>
          <cell r="AT164">
            <v>19382413.840017654</v>
          </cell>
          <cell r="AU164" t="e">
            <v>#DIV/0!</v>
          </cell>
          <cell r="AV164" t="e">
            <v>#DIV/0!</v>
          </cell>
          <cell r="AW164" t="e">
            <v>#DIV/0!</v>
          </cell>
          <cell r="AX164">
            <v>11.362020237205238</v>
          </cell>
          <cell r="AY164">
            <v>10.591310095716423</v>
          </cell>
          <cell r="AZ164">
            <v>10.400530085286485</v>
          </cell>
          <cell r="BA164">
            <v>10.371849637057142</v>
          </cell>
          <cell r="BB164" t="e">
            <v>#DIV/0!</v>
          </cell>
        </row>
        <row r="165">
          <cell r="AI165" t="str">
            <v>Renta</v>
          </cell>
          <cell r="AK165">
            <v>2053778</v>
          </cell>
          <cell r="AL165">
            <v>2726730</v>
          </cell>
          <cell r="AM165">
            <v>3257473</v>
          </cell>
          <cell r="AN165">
            <v>3637291</v>
          </cell>
          <cell r="AO165">
            <v>5081160.7374290004</v>
          </cell>
          <cell r="AP165">
            <v>5764752</v>
          </cell>
          <cell r="AQ165">
            <v>5764752</v>
          </cell>
          <cell r="AS165">
            <v>6035064</v>
          </cell>
          <cell r="AT165">
            <v>6761800</v>
          </cell>
          <cell r="AU165" t="e">
            <v>#DIV/0!</v>
          </cell>
          <cell r="AV165" t="e">
            <v>#DIV/0!</v>
          </cell>
          <cell r="AW165" t="e">
            <v>#DIV/0!</v>
          </cell>
          <cell r="AX165">
            <v>4.0629307791856615</v>
          </cell>
          <cell r="AY165">
            <v>4.0930120883896057</v>
          </cell>
          <cell r="AZ165">
            <v>4.044216801795387</v>
          </cell>
          <cell r="BA165">
            <v>4.044216801795387</v>
          </cell>
          <cell r="BB165" t="e">
            <v>#DIV/0!</v>
          </cell>
        </row>
        <row r="166">
          <cell r="AI166" t="str">
            <v>Ventas internas</v>
          </cell>
          <cell r="AK166">
            <v>1270304</v>
          </cell>
          <cell r="AL166">
            <v>1688410</v>
          </cell>
          <cell r="AM166">
            <v>2064330</v>
          </cell>
          <cell r="AN166">
            <v>2804742</v>
          </cell>
          <cell r="AO166">
            <v>3829700</v>
          </cell>
          <cell r="AP166">
            <v>4037970</v>
          </cell>
          <cell r="AQ166">
            <v>4037970</v>
          </cell>
          <cell r="AS166">
            <v>3993819</v>
          </cell>
          <cell r="AT166">
            <v>5222366.5599999996</v>
          </cell>
          <cell r="AU166" t="e">
            <v>#DIV/0!</v>
          </cell>
          <cell r="AV166" t="e">
            <v>#DIV/0!</v>
          </cell>
          <cell r="AW166" t="e">
            <v>#DIV/0!</v>
          </cell>
          <cell r="AX166">
            <v>3.1329559827560542</v>
          </cell>
          <cell r="AY166">
            <v>3.084926693902823</v>
          </cell>
          <cell r="AZ166">
            <v>2.8328063582172689</v>
          </cell>
          <cell r="BA166">
            <v>2.8328063582172689</v>
          </cell>
          <cell r="BB166" t="e">
            <v>#DIV/0!</v>
          </cell>
        </row>
        <row r="167">
          <cell r="AI167" t="str">
            <v>Ventas externas</v>
          </cell>
          <cell r="AK167">
            <v>811677</v>
          </cell>
          <cell r="AL167">
            <v>1083655</v>
          </cell>
          <cell r="AM167">
            <v>1412000.57</v>
          </cell>
          <cell r="AN167">
            <v>1378928.75</v>
          </cell>
          <cell r="AO167">
            <v>2006900</v>
          </cell>
          <cell r="AP167">
            <v>2368507</v>
          </cell>
          <cell r="AQ167">
            <v>2368507</v>
          </cell>
          <cell r="AS167">
            <v>1867124</v>
          </cell>
          <cell r="AT167">
            <v>2764967</v>
          </cell>
          <cell r="AU167" t="e">
            <v>#DIV/0!</v>
          </cell>
          <cell r="AV167" t="e">
            <v>#DIV/0!</v>
          </cell>
          <cell r="AW167" t="e">
            <v>#DIV/0!</v>
          </cell>
          <cell r="AX167">
            <v>1.5402925035909993</v>
          </cell>
          <cell r="AY167">
            <v>1.6166121059074015</v>
          </cell>
          <cell r="AZ167">
            <v>1.6616076120134893</v>
          </cell>
          <cell r="BA167">
            <v>1.6616076120134893</v>
          </cell>
          <cell r="BB167" t="e">
            <v>#DIV/0!</v>
          </cell>
        </row>
        <row r="168">
          <cell r="AI168" t="str">
            <v>Aduanas</v>
          </cell>
          <cell r="AK168">
            <v>508123</v>
          </cell>
          <cell r="AL168">
            <v>718041</v>
          </cell>
          <cell r="AM168">
            <v>868730.35</v>
          </cell>
          <cell r="AN168">
            <v>912710</v>
          </cell>
          <cell r="AO168">
            <v>1240900</v>
          </cell>
          <cell r="AP168">
            <v>1646641</v>
          </cell>
          <cell r="AQ168">
            <v>1646641</v>
          </cell>
          <cell r="AS168">
            <v>1360239</v>
          </cell>
          <cell r="AT168">
            <v>2110784</v>
          </cell>
          <cell r="AU168" t="e">
            <v>#DIV/0!</v>
          </cell>
          <cell r="AV168" t="e">
            <v>#DIV/0!</v>
          </cell>
          <cell r="AW168" t="e">
            <v>#DIV/0!</v>
          </cell>
          <cell r="AX168">
            <v>1.0195163245037433</v>
          </cell>
          <cell r="AY168">
            <v>0.99957843550774539</v>
          </cell>
          <cell r="AZ168">
            <v>1.1551881501103878</v>
          </cell>
          <cell r="BA168">
            <v>1.1551881501103878</v>
          </cell>
          <cell r="BB168" t="e">
            <v>#DIV/0!</v>
          </cell>
        </row>
        <row r="169">
          <cell r="AI169" t="str">
            <v>Gasolina</v>
          </cell>
          <cell r="AK169">
            <v>319997.68509984389</v>
          </cell>
          <cell r="AL169">
            <v>405857</v>
          </cell>
          <cell r="AM169">
            <v>465782.39</v>
          </cell>
          <cell r="AN169">
            <v>637180.5</v>
          </cell>
          <cell r="AO169">
            <v>636400</v>
          </cell>
          <cell r="AP169">
            <v>641768</v>
          </cell>
          <cell r="AQ169">
            <v>421768</v>
          </cell>
          <cell r="AS169">
            <v>799292</v>
          </cell>
          <cell r="AT169">
            <v>939040.28001765453</v>
          </cell>
          <cell r="AU169" t="e">
            <v>#DIV/0!</v>
          </cell>
          <cell r="AV169" t="e">
            <v>#DIV/0!</v>
          </cell>
          <cell r="AW169" t="e">
            <v>#DIV/0!</v>
          </cell>
          <cell r="AX169">
            <v>0.71174406044138594</v>
          </cell>
          <cell r="AY169">
            <v>0.51263737316232505</v>
          </cell>
          <cell r="AZ169">
            <v>0.45022733474998089</v>
          </cell>
          <cell r="BA169">
            <v>0.29588805070185792</v>
          </cell>
          <cell r="BB169" t="e">
            <v>#DIV/0!</v>
          </cell>
        </row>
        <row r="170">
          <cell r="AI170" t="str">
            <v>Resto</v>
          </cell>
          <cell r="AK170">
            <v>87475</v>
          </cell>
          <cell r="AL170">
            <v>108671</v>
          </cell>
          <cell r="AM170">
            <v>161362.96999999997</v>
          </cell>
          <cell r="AN170">
            <v>171960</v>
          </cell>
          <cell r="AO170">
            <v>278838.596571</v>
          </cell>
          <cell r="AP170">
            <v>365600</v>
          </cell>
          <cell r="AQ170">
            <v>365600</v>
          </cell>
          <cell r="AS170">
            <v>1185151</v>
          </cell>
          <cell r="AT170">
            <v>1583456</v>
          </cell>
          <cell r="AU170" t="e">
            <v>#DIV/0!</v>
          </cell>
          <cell r="AV170" t="e">
            <v>#DIV/0!</v>
          </cell>
          <cell r="AW170" t="e">
            <v>#DIV/0!</v>
          </cell>
          <cell r="AX170">
            <v>0.19208294766318293</v>
          </cell>
          <cell r="AY170">
            <v>0.22461201395730163</v>
          </cell>
          <cell r="AZ170">
            <v>0.25648382839997164</v>
          </cell>
          <cell r="BA170">
            <v>0.25648382839997164</v>
          </cell>
          <cell r="BB170" t="e">
            <v>#DIV/0!</v>
          </cell>
        </row>
        <row r="171">
          <cell r="AI171" t="str">
            <v>Reforma y Racionalización Tributarias</v>
          </cell>
          <cell r="AK171">
            <v>0</v>
          </cell>
          <cell r="AL171">
            <v>0</v>
          </cell>
          <cell r="AM171">
            <v>0</v>
          </cell>
          <cell r="AN171">
            <v>628902.75</v>
          </cell>
          <cell r="AO171">
            <v>74400.22</v>
          </cell>
          <cell r="AP171">
            <v>0</v>
          </cell>
          <cell r="AQ171">
            <v>179118</v>
          </cell>
          <cell r="AS171">
            <v>887544</v>
          </cell>
          <cell r="AT171">
            <v>0</v>
          </cell>
          <cell r="AU171" t="e">
            <v>#DIV/0!</v>
          </cell>
          <cell r="AV171" t="e">
            <v>#DIV/0!</v>
          </cell>
          <cell r="AW171" t="e">
            <v>#DIV/0!</v>
          </cell>
          <cell r="AX171">
            <v>0.70249763906421159</v>
          </cell>
          <cell r="AY171">
            <v>5.9931384889219175E-2</v>
          </cell>
          <cell r="AZ171">
            <v>0</v>
          </cell>
          <cell r="BA171">
            <v>0.12565883581878043</v>
          </cell>
          <cell r="BB171" t="e">
            <v>#DIV/0!</v>
          </cell>
        </row>
        <row r="172">
          <cell r="AH172" t="str">
            <v xml:space="preserve">  1.1.2.</v>
          </cell>
          <cell r="AI172" t="str">
            <v>NO TRIBUTARIOS</v>
          </cell>
          <cell r="AK172">
            <v>212346</v>
          </cell>
          <cell r="AL172">
            <v>130122</v>
          </cell>
          <cell r="AM172">
            <v>231865.93</v>
          </cell>
          <cell r="AN172">
            <v>331788</v>
          </cell>
          <cell r="AO172">
            <v>539399.78883462772</v>
          </cell>
          <cell r="AP172">
            <v>181738</v>
          </cell>
          <cell r="AQ172">
            <v>181738</v>
          </cell>
          <cell r="AS172">
            <v>272004</v>
          </cell>
          <cell r="AT172">
            <v>739080.93452818377</v>
          </cell>
          <cell r="AU172" t="e">
            <v>#DIV/0!</v>
          </cell>
          <cell r="AV172" t="e">
            <v>#DIV/0!</v>
          </cell>
          <cell r="AW172" t="e">
            <v>#DIV/0!</v>
          </cell>
          <cell r="AX172">
            <v>0.37061419539004498</v>
          </cell>
          <cell r="AY172">
            <v>0.43450108553189259</v>
          </cell>
          <cell r="AZ172">
            <v>0.12749687638335352</v>
          </cell>
          <cell r="BA172">
            <v>0.12749687638335352</v>
          </cell>
          <cell r="BB172" t="e">
            <v>#DIV/0!</v>
          </cell>
        </row>
        <row r="173">
          <cell r="AI173" t="str">
            <v>Contribución hidrocarburos</v>
          </cell>
          <cell r="AK173">
            <v>92000</v>
          </cell>
          <cell r="AL173">
            <v>115700</v>
          </cell>
          <cell r="AM173">
            <v>172307.49</v>
          </cell>
          <cell r="AN173">
            <v>267843</v>
          </cell>
          <cell r="AO173">
            <v>278800</v>
          </cell>
          <cell r="AP173">
            <v>41269</v>
          </cell>
          <cell r="AQ173">
            <v>41269</v>
          </cell>
          <cell r="AS173">
            <v>14000</v>
          </cell>
          <cell r="AT173">
            <v>58186.551473012805</v>
          </cell>
          <cell r="AU173" t="e">
            <v>#DIV/0!</v>
          </cell>
          <cell r="AV173" t="e">
            <v>#DIV/0!</v>
          </cell>
          <cell r="AW173" t="e">
            <v>#DIV/0!</v>
          </cell>
          <cell r="AX173">
            <v>0.29918628140817577</v>
          </cell>
          <cell r="AY173">
            <v>0.22458092337783822</v>
          </cell>
          <cell r="AZ173">
            <v>2.8951945060827218E-2</v>
          </cell>
          <cell r="BA173">
            <v>2.8951945060827218E-2</v>
          </cell>
          <cell r="BB173" t="e">
            <v>#DIV/0!</v>
          </cell>
        </row>
        <row r="174">
          <cell r="AI174" t="str">
            <v xml:space="preserve">Resto </v>
          </cell>
          <cell r="AK174">
            <v>120346</v>
          </cell>
          <cell r="AL174">
            <v>14422</v>
          </cell>
          <cell r="AM174">
            <v>59558.44</v>
          </cell>
          <cell r="AN174">
            <v>63945</v>
          </cell>
          <cell r="AO174">
            <v>260599.78883462772</v>
          </cell>
          <cell r="AP174">
            <v>140469</v>
          </cell>
          <cell r="AQ174">
            <v>140469</v>
          </cell>
          <cell r="AS174">
            <v>258004</v>
          </cell>
          <cell r="AT174">
            <v>680894.383055171</v>
          </cell>
          <cell r="AU174" t="e">
            <v>#DIV/0!</v>
          </cell>
          <cell r="AV174" t="e">
            <v>#DIV/0!</v>
          </cell>
          <cell r="AW174" t="e">
            <v>#DIV/0!</v>
          </cell>
          <cell r="AX174">
            <v>7.1427913981869234E-2</v>
          </cell>
          <cell r="AY174">
            <v>0.20992016215405432</v>
          </cell>
          <cell r="AZ174">
            <v>9.85449313225263E-2</v>
          </cell>
          <cell r="BA174">
            <v>9.85449313225263E-2</v>
          </cell>
          <cell r="BB174" t="e">
            <v>#DIV/0!</v>
          </cell>
        </row>
        <row r="175">
          <cell r="AH175" t="str">
            <v>CONTRIBUCIONES PARAFISCALES</v>
          </cell>
          <cell r="AK175">
            <v>81799.62289557296</v>
          </cell>
          <cell r="AL175">
            <v>219100</v>
          </cell>
          <cell r="AM175">
            <v>259554</v>
          </cell>
          <cell r="AS175">
            <v>0</v>
          </cell>
          <cell r="AT175">
            <v>0</v>
          </cell>
          <cell r="AU175" t="e">
            <v>#DIV/0!</v>
          </cell>
          <cell r="AV175" t="e">
            <v>#DIV/0!</v>
          </cell>
          <cell r="AW175" t="e">
            <v>#DIV/0!</v>
          </cell>
        </row>
        <row r="176">
          <cell r="AH176" t="str">
            <v>FONDOS ESPECIALES</v>
          </cell>
          <cell r="AK176">
            <v>0</v>
          </cell>
          <cell r="AL176">
            <v>0</v>
          </cell>
          <cell r="AM176">
            <v>0</v>
          </cell>
          <cell r="AN176">
            <v>400315</v>
          </cell>
          <cell r="AO176">
            <v>382093.34802990541</v>
          </cell>
          <cell r="AP176">
            <v>386363</v>
          </cell>
          <cell r="AQ176">
            <v>306363</v>
          </cell>
          <cell r="AS176">
            <v>539961</v>
          </cell>
          <cell r="AT176">
            <v>604451</v>
          </cell>
          <cell r="AU176" t="e">
            <v>#DIV/0!</v>
          </cell>
          <cell r="AV176" t="e">
            <v>#DIV/0!</v>
          </cell>
          <cell r="AW176" t="e">
            <v>#DIV/0!</v>
          </cell>
          <cell r="AX176">
            <v>0.44716030003365359</v>
          </cell>
          <cell r="AY176">
            <v>0.30778650257204399</v>
          </cell>
          <cell r="AZ176">
            <v>0.27104994910311336</v>
          </cell>
          <cell r="BA176">
            <v>0.21492657308561414</v>
          </cell>
          <cell r="BB176" t="e">
            <v>#DIV/0!</v>
          </cell>
        </row>
        <row r="177">
          <cell r="AH177" t="str">
            <v>OTROS DE CAPITAL</v>
          </cell>
          <cell r="AK177">
            <v>562100</v>
          </cell>
          <cell r="AL177">
            <v>620214</v>
          </cell>
          <cell r="AM177">
            <v>802600</v>
          </cell>
          <cell r="AN177">
            <v>1144950</v>
          </cell>
          <cell r="AO177">
            <v>1218003</v>
          </cell>
          <cell r="AP177">
            <v>1490079</v>
          </cell>
          <cell r="AQ177">
            <v>1919151</v>
          </cell>
          <cell r="AS177">
            <v>3164263</v>
          </cell>
          <cell r="AT177">
            <v>2228335.5999999996</v>
          </cell>
          <cell r="AU177" t="e">
            <v>#DIV/0!</v>
          </cell>
          <cell r="AV177" t="e">
            <v>#DIV/0!</v>
          </cell>
          <cell r="AW177" t="e">
            <v>#DIV/0!</v>
          </cell>
          <cell r="AX177">
            <v>1.2789333038320616</v>
          </cell>
          <cell r="AY177">
            <v>0.98113428413549886</v>
          </cell>
          <cell r="AZ177">
            <v>1.0453533001597413</v>
          </cell>
          <cell r="BA177">
            <v>1.3463654150919968</v>
          </cell>
          <cell r="BB177" t="e">
            <v>#DIV/0!</v>
          </cell>
        </row>
        <row r="178">
          <cell r="AH178" t="str">
            <v>Rendimientos financieros</v>
          </cell>
          <cell r="AK178">
            <v>121900</v>
          </cell>
          <cell r="AL178">
            <v>125100</v>
          </cell>
          <cell r="AM178">
            <v>141300</v>
          </cell>
          <cell r="AN178">
            <v>293738</v>
          </cell>
          <cell r="AO178">
            <v>318811.99</v>
          </cell>
          <cell r="AP178">
            <v>291800</v>
          </cell>
          <cell r="AQ178">
            <v>291800</v>
          </cell>
          <cell r="AS178">
            <v>320558</v>
          </cell>
          <cell r="AT178">
            <v>494497</v>
          </cell>
          <cell r="AU178" t="e">
            <v>#DIV/0!</v>
          </cell>
          <cell r="AV178" t="e">
            <v>#DIV/0!</v>
          </cell>
          <cell r="AW178" t="e">
            <v>#DIV/0!</v>
          </cell>
          <cell r="AX178">
            <v>0.3281115426883463</v>
          </cell>
          <cell r="AY178">
            <v>0.25681166104062458</v>
          </cell>
          <cell r="AZ178">
            <v>0.2047100140238286</v>
          </cell>
          <cell r="BA178">
            <v>0.2047100140238286</v>
          </cell>
          <cell r="BB178" t="e">
            <v>#DIV/0!</v>
          </cell>
        </row>
        <row r="179">
          <cell r="AH179" t="str">
            <v>Excedentes financieros</v>
          </cell>
          <cell r="AK179">
            <v>154960</v>
          </cell>
          <cell r="AL179">
            <v>220000</v>
          </cell>
          <cell r="AM179">
            <v>428800</v>
          </cell>
          <cell r="AN179">
            <v>550000</v>
          </cell>
          <cell r="AO179">
            <v>635803</v>
          </cell>
          <cell r="AP179">
            <v>712766</v>
          </cell>
          <cell r="AQ179">
            <v>1141838</v>
          </cell>
          <cell r="AS179">
            <v>2645009</v>
          </cell>
          <cell r="AT179">
            <v>1515273.0000000002</v>
          </cell>
          <cell r="AU179" t="e">
            <v>#DIV/0!</v>
          </cell>
          <cell r="AV179" t="e">
            <v>#DIV/0!</v>
          </cell>
          <cell r="AW179" t="e">
            <v>#DIV/0!</v>
          </cell>
          <cell r="AX179">
            <v>0.61436160278408125</v>
          </cell>
          <cell r="AY179">
            <v>0.51215647355236615</v>
          </cell>
          <cell r="AZ179">
            <v>0.50003542788111111</v>
          </cell>
          <cell r="BA179">
            <v>0.80104754281336665</v>
          </cell>
          <cell r="BB179" t="e">
            <v>#DIV/0!</v>
          </cell>
        </row>
        <row r="180">
          <cell r="AI180" t="str">
            <v>Ecopetrol</v>
          </cell>
          <cell r="AK180">
            <v>110000</v>
          </cell>
          <cell r="AL180">
            <v>139000</v>
          </cell>
          <cell r="AM180">
            <v>194020</v>
          </cell>
          <cell r="AN180">
            <v>226224</v>
          </cell>
          <cell r="AO180">
            <v>223000</v>
          </cell>
          <cell r="AP180">
            <v>279000</v>
          </cell>
          <cell r="AQ180">
            <v>708072</v>
          </cell>
          <cell r="AS180">
            <v>279000</v>
          </cell>
          <cell r="AT180">
            <v>674000</v>
          </cell>
          <cell r="AU180" t="e">
            <v>#DIV/0!</v>
          </cell>
          <cell r="AV180" t="e">
            <v>#DIV/0!</v>
          </cell>
          <cell r="AW180" t="e">
            <v>#DIV/0!</v>
          </cell>
          <cell r="AX180">
            <v>0.25269698041495636</v>
          </cell>
          <cell r="AY180">
            <v>0.17963251762287635</v>
          </cell>
          <cell r="AZ180">
            <v>0.19573027386102868</v>
          </cell>
          <cell r="BA180">
            <v>0.49674238879328431</v>
          </cell>
          <cell r="BB180" t="e">
            <v>#DIV/0!</v>
          </cell>
        </row>
        <row r="181">
          <cell r="AI181" t="str">
            <v>Resto</v>
          </cell>
          <cell r="AK181">
            <v>44960</v>
          </cell>
          <cell r="AL181">
            <v>81000</v>
          </cell>
          <cell r="AM181">
            <v>234780</v>
          </cell>
          <cell r="AN181">
            <v>323776</v>
          </cell>
          <cell r="AO181">
            <v>412803</v>
          </cell>
          <cell r="AP181">
            <v>433766</v>
          </cell>
          <cell r="AQ181">
            <v>433766</v>
          </cell>
          <cell r="AS181">
            <v>2366009</v>
          </cell>
          <cell r="AT181">
            <v>841273.00000000023</v>
          </cell>
          <cell r="AU181" t="e">
            <v>#DIV/0!</v>
          </cell>
          <cell r="AV181" t="e">
            <v>#DIV/0!</v>
          </cell>
          <cell r="AW181" t="e">
            <v>#DIV/0!</v>
          </cell>
          <cell r="AX181">
            <v>0.36166462236912489</v>
          </cell>
          <cell r="AY181">
            <v>0.3325239559294898</v>
          </cell>
          <cell r="AZ181">
            <v>0.30430515402008235</v>
          </cell>
          <cell r="BA181">
            <v>0.30430515402008235</v>
          </cell>
          <cell r="BB181" t="e">
            <v>#DIV/0!</v>
          </cell>
        </row>
        <row r="182">
          <cell r="AH182" t="str">
            <v>Recuperación de cartera</v>
          </cell>
          <cell r="AK182">
            <v>66700</v>
          </cell>
          <cell r="AL182">
            <v>55200</v>
          </cell>
          <cell r="AM182">
            <v>5900</v>
          </cell>
          <cell r="AN182">
            <v>8100</v>
          </cell>
          <cell r="AO182">
            <v>75800</v>
          </cell>
          <cell r="AP182">
            <v>75100</v>
          </cell>
          <cell r="AQ182">
            <v>75100</v>
          </cell>
          <cell r="AS182">
            <v>3481</v>
          </cell>
          <cell r="AT182">
            <v>3829.1000000000004</v>
          </cell>
          <cell r="AU182" t="e">
            <v>#DIV/0!</v>
          </cell>
          <cell r="AV182" t="e">
            <v>#DIV/0!</v>
          </cell>
          <cell r="AW182" t="e">
            <v>#DIV/0!</v>
          </cell>
          <cell r="AX182">
            <v>9.0478708773655617E-3</v>
          </cell>
          <cell r="AY182">
            <v>6.1058945452080841E-2</v>
          </cell>
          <cell r="AZ182">
            <v>5.2685819236427442E-2</v>
          </cell>
          <cell r="BA182">
            <v>5.2685819236427442E-2</v>
          </cell>
          <cell r="BB182" t="e">
            <v>#DIV/0!</v>
          </cell>
        </row>
        <row r="183">
          <cell r="AH183" t="str">
            <v>Reintegros y recursos no apropiados</v>
          </cell>
          <cell r="AK183">
            <v>78400</v>
          </cell>
          <cell r="AL183">
            <v>171400</v>
          </cell>
          <cell r="AM183">
            <v>226600</v>
          </cell>
          <cell r="AN183">
            <v>192000</v>
          </cell>
          <cell r="AO183">
            <v>83188.009999999995</v>
          </cell>
          <cell r="AP183">
            <v>199903</v>
          </cell>
          <cell r="AQ183">
            <v>199903</v>
          </cell>
          <cell r="AS183">
            <v>190017</v>
          </cell>
          <cell r="AT183">
            <v>209018.7</v>
          </cell>
          <cell r="AU183" t="e">
            <v>#DIV/0!</v>
          </cell>
          <cell r="AV183" t="e">
            <v>#DIV/0!</v>
          </cell>
          <cell r="AW183" t="e">
            <v>#DIV/0!</v>
          </cell>
          <cell r="AX183">
            <v>0.21446805042644293</v>
          </cell>
          <cell r="AY183">
            <v>6.7010186871466426E-2</v>
          </cell>
          <cell r="AZ183">
            <v>0.14024039045032696</v>
          </cell>
          <cell r="BA183">
            <v>0.14024039045032696</v>
          </cell>
          <cell r="BB183" t="e">
            <v>#DIV/0!</v>
          </cell>
        </row>
        <row r="184">
          <cell r="AH184" t="str">
            <v xml:space="preserve">Resto </v>
          </cell>
          <cell r="AK184">
            <v>140140</v>
          </cell>
          <cell r="AL184">
            <v>48514</v>
          </cell>
          <cell r="AM184">
            <v>0</v>
          </cell>
          <cell r="AN184">
            <v>101112</v>
          </cell>
          <cell r="AO184">
            <v>104400</v>
          </cell>
          <cell r="AP184">
            <v>210510</v>
          </cell>
          <cell r="AQ184">
            <v>210510</v>
          </cell>
          <cell r="AS184">
            <v>5198</v>
          </cell>
          <cell r="AT184">
            <v>5717.8</v>
          </cell>
          <cell r="AU184" t="e">
            <v>#DIV/0!</v>
          </cell>
          <cell r="AV184" t="e">
            <v>#DIV/0!</v>
          </cell>
          <cell r="AW184" t="e">
            <v>#DIV/0!</v>
          </cell>
          <cell r="AX184">
            <v>0.11294423705582549</v>
          </cell>
          <cell r="AY184">
            <v>8.4097017218960943E-2</v>
          </cell>
          <cell r="AZ184">
            <v>0.14768164856804714</v>
          </cell>
          <cell r="BA184">
            <v>0.14768164856804714</v>
          </cell>
          <cell r="BB184" t="e">
            <v>#DIV/0!</v>
          </cell>
        </row>
        <row r="185">
          <cell r="AK185">
            <v>0</v>
          </cell>
          <cell r="AL185">
            <v>0</v>
          </cell>
          <cell r="AM185">
            <v>0</v>
          </cell>
          <cell r="AS185">
            <v>0</v>
          </cell>
          <cell r="AT185">
            <v>0</v>
          </cell>
        </row>
        <row r="186">
          <cell r="AK186">
            <v>6046333.0410558749</v>
          </cell>
          <cell r="AL186">
            <v>8498337</v>
          </cell>
          <cell r="AM186">
            <v>11290300</v>
          </cell>
          <cell r="AN186">
            <v>15363198.08</v>
          </cell>
          <cell r="AO186">
            <v>19589241</v>
          </cell>
          <cell r="AP186">
            <v>23492406</v>
          </cell>
          <cell r="AQ186">
            <v>23492406</v>
          </cell>
          <cell r="AS186">
            <v>27734235</v>
          </cell>
          <cell r="AT186">
            <v>31690348.102001004</v>
          </cell>
          <cell r="AU186" t="e">
            <v>#DIV/0!</v>
          </cell>
          <cell r="AV186" t="e">
            <v>#DIV/0!</v>
          </cell>
          <cell r="AW186" t="e">
            <v>#DIV/0!</v>
          </cell>
          <cell r="AX186">
            <v>17.161016356942035</v>
          </cell>
          <cell r="AY186">
            <v>15.779662238346509</v>
          </cell>
          <cell r="AZ186">
            <v>16.48091419367195</v>
          </cell>
          <cell r="BA186">
            <v>16.48091419367195</v>
          </cell>
          <cell r="BB186" t="e">
            <v>#DIV/0!</v>
          </cell>
        </row>
        <row r="187">
          <cell r="AH187" t="str">
            <v xml:space="preserve"> PAGOS CORRIENTES</v>
          </cell>
          <cell r="AK187">
            <v>5073285.0410558749</v>
          </cell>
          <cell r="AL187">
            <v>7159337</v>
          </cell>
          <cell r="AM187">
            <v>9544400</v>
          </cell>
          <cell r="AN187">
            <v>13046998.08</v>
          </cell>
          <cell r="AO187">
            <v>16419841</v>
          </cell>
          <cell r="AP187">
            <v>21212186</v>
          </cell>
          <cell r="AQ187">
            <v>21212186</v>
          </cell>
          <cell r="AS187">
            <v>25711137</v>
          </cell>
          <cell r="AT187">
            <v>29337897.772421002</v>
          </cell>
          <cell r="AU187" t="e">
            <v>#DIV/0!</v>
          </cell>
          <cell r="AV187" t="e">
            <v>#DIV/0!</v>
          </cell>
          <cell r="AW187" t="e">
            <v>#DIV/0!</v>
          </cell>
          <cell r="AX187">
            <v>14.573772094453874</v>
          </cell>
          <cell r="AY187">
            <v>13.226625012544069</v>
          </cell>
          <cell r="AZ187">
            <v>14.881243637889172</v>
          </cell>
          <cell r="BA187">
            <v>14.881243637889172</v>
          </cell>
          <cell r="BB187" t="e">
            <v>#DIV/0!</v>
          </cell>
        </row>
        <row r="188">
          <cell r="AH188" t="str">
            <v xml:space="preserve"> 2.1.1.</v>
          </cell>
          <cell r="AI188" t="str">
            <v xml:space="preserve"> Interes deuda Externa</v>
          </cell>
          <cell r="AK188">
            <v>338748</v>
          </cell>
          <cell r="AL188">
            <v>375230</v>
          </cell>
          <cell r="AM188">
            <v>383400</v>
          </cell>
          <cell r="AN188">
            <v>467078</v>
          </cell>
          <cell r="AO188">
            <v>617500</v>
          </cell>
          <cell r="AP188">
            <v>889000</v>
          </cell>
          <cell r="AQ188">
            <v>889000</v>
          </cell>
          <cell r="AS188">
            <v>1417360</v>
          </cell>
          <cell r="AT188">
            <v>2280777.8724210002</v>
          </cell>
          <cell r="AU188" t="e">
            <v>#DIV/0!</v>
          </cell>
          <cell r="AV188" t="e">
            <v>#DIV/0!</v>
          </cell>
          <cell r="AW188" t="e">
            <v>#DIV/0!</v>
          </cell>
          <cell r="AX188">
            <v>0.52173597946396932</v>
          </cell>
          <cell r="AY188">
            <v>0.49741291314854769</v>
          </cell>
          <cell r="AZ188">
            <v>0.62367101599446062</v>
          </cell>
          <cell r="BA188">
            <v>0.62367101599446062</v>
          </cell>
          <cell r="BB188" t="e">
            <v>#DIV/0!</v>
          </cell>
        </row>
        <row r="189">
          <cell r="AH189" t="str">
            <v xml:space="preserve"> 2.1.2.</v>
          </cell>
          <cell r="AI189" t="str">
            <v xml:space="preserve"> Interes deuda Interna</v>
          </cell>
          <cell r="AK189">
            <v>243638</v>
          </cell>
          <cell r="AL189">
            <v>404920</v>
          </cell>
          <cell r="AM189">
            <v>652700</v>
          </cell>
          <cell r="AN189">
            <v>1411444</v>
          </cell>
          <cell r="AO189">
            <v>1832800</v>
          </cell>
          <cell r="AP189">
            <v>3201700</v>
          </cell>
          <cell r="AQ189">
            <v>3201700</v>
          </cell>
          <cell r="AS189">
            <v>3535289</v>
          </cell>
          <cell r="AT189">
            <v>4814374.9000000004</v>
          </cell>
          <cell r="AU189" t="e">
            <v>#DIV/0!</v>
          </cell>
          <cell r="AV189" t="e">
            <v>#DIV/0!</v>
          </cell>
          <cell r="AW189" t="e">
            <v>#DIV/0!</v>
          </cell>
          <cell r="AX189">
            <v>1.5766127237817722</v>
          </cell>
          <cell r="AY189">
            <v>1.4763698578439808</v>
          </cell>
          <cell r="AZ189">
            <v>2.2461276624403426</v>
          </cell>
          <cell r="BA189">
            <v>2.2461276624403426</v>
          </cell>
          <cell r="BB189" t="e">
            <v>#DIV/0!</v>
          </cell>
        </row>
        <row r="190">
          <cell r="AH190" t="str">
            <v xml:space="preserve"> 2.1.3.</v>
          </cell>
          <cell r="AI190" t="str">
            <v xml:space="preserve"> Otros</v>
          </cell>
          <cell r="AK190">
            <v>4490899.0410558749</v>
          </cell>
          <cell r="AL190">
            <v>6379187</v>
          </cell>
          <cell r="AM190">
            <v>8508300</v>
          </cell>
          <cell r="AN190">
            <v>11168476.08</v>
          </cell>
          <cell r="AO190">
            <v>13969541</v>
          </cell>
          <cell r="AP190">
            <v>17121486</v>
          </cell>
          <cell r="AQ190">
            <v>17121486</v>
          </cell>
          <cell r="AS190">
            <v>20758488</v>
          </cell>
          <cell r="AT190">
            <v>22242745</v>
          </cell>
          <cell r="AU190" t="e">
            <v>#DIV/0!</v>
          </cell>
          <cell r="AV190" t="e">
            <v>#DIV/0!</v>
          </cell>
          <cell r="AW190" t="e">
            <v>#DIV/0!</v>
          </cell>
          <cell r="AX190">
            <v>12.475423391208132</v>
          </cell>
          <cell r="AY190">
            <v>11.252842241551541</v>
          </cell>
          <cell r="AZ190">
            <v>12.011444959454369</v>
          </cell>
          <cell r="BA190">
            <v>12.011444959454369</v>
          </cell>
          <cell r="BB190" t="e">
            <v>#DIV/0!</v>
          </cell>
        </row>
        <row r="191">
          <cell r="AI191" t="str">
            <v xml:space="preserve"> 2.1.3.1.</v>
          </cell>
          <cell r="AJ191" t="str">
            <v xml:space="preserve"> Servicios Personales</v>
          </cell>
          <cell r="AK191">
            <v>1092593.0410558751</v>
          </cell>
          <cell r="AL191">
            <v>1525331</v>
          </cell>
          <cell r="AM191">
            <v>1946082.4</v>
          </cell>
          <cell r="AN191">
            <v>2377977.85</v>
          </cell>
          <cell r="AO191">
            <v>2848199.6999999997</v>
          </cell>
          <cell r="AP191">
            <v>3547894.0000000005</v>
          </cell>
          <cell r="AQ191">
            <v>3547894.0000000005</v>
          </cell>
          <cell r="AS191">
            <v>4084291.9999999995</v>
          </cell>
          <cell r="AT191">
            <v>4453811</v>
          </cell>
          <cell r="AU191" t="e">
            <v>#DIV/0!</v>
          </cell>
          <cell r="AV191" t="e">
            <v>#DIV/0!</v>
          </cell>
          <cell r="AW191" t="e">
            <v>#DIV/0!</v>
          </cell>
          <cell r="AX191">
            <v>2.6562514242018973</v>
          </cell>
          <cell r="AY191">
            <v>2.2943017166086146</v>
          </cell>
          <cell r="AZ191">
            <v>2.4889973629028694</v>
          </cell>
          <cell r="BA191">
            <v>2.4889973629028694</v>
          </cell>
          <cell r="BB191" t="e">
            <v>#DIV/0!</v>
          </cell>
        </row>
        <row r="192">
          <cell r="AI192" t="str">
            <v xml:space="preserve"> 2.1.3.2.</v>
          </cell>
          <cell r="AJ192" t="str">
            <v>Operación Comercial</v>
          </cell>
          <cell r="AK192">
            <v>0</v>
          </cell>
          <cell r="AL192">
            <v>0</v>
          </cell>
          <cell r="AM192">
            <v>0</v>
          </cell>
          <cell r="AN192">
            <v>0</v>
          </cell>
          <cell r="AO192">
            <v>0</v>
          </cell>
          <cell r="AP192">
            <v>0</v>
          </cell>
          <cell r="AS192">
            <v>0</v>
          </cell>
          <cell r="AT192">
            <v>0</v>
          </cell>
          <cell r="AU192" t="e">
            <v>#DIV/0!</v>
          </cell>
          <cell r="AV192" t="e">
            <v>#DIV/0!</v>
          </cell>
          <cell r="AW192" t="e">
            <v>#DIV/0!</v>
          </cell>
          <cell r="AX192">
            <v>0</v>
          </cell>
          <cell r="AY192">
            <v>0</v>
          </cell>
          <cell r="AZ192">
            <v>0</v>
          </cell>
          <cell r="BA192">
            <v>0</v>
          </cell>
          <cell r="BB192" t="e">
            <v>#DIV/0!</v>
          </cell>
        </row>
        <row r="193">
          <cell r="AI193" t="str">
            <v xml:space="preserve"> 2.1.3.3.</v>
          </cell>
          <cell r="AJ193" t="str">
            <v xml:space="preserve"> Transferencias</v>
          </cell>
          <cell r="AK193">
            <v>3000623</v>
          </cell>
          <cell r="AL193">
            <v>4254181</v>
          </cell>
          <cell r="AM193">
            <v>5837260.2000000002</v>
          </cell>
          <cell r="AN193">
            <v>7937416.0999999996</v>
          </cell>
          <cell r="AO193">
            <v>9799363</v>
          </cell>
          <cell r="AP193">
            <v>12259100</v>
          </cell>
          <cell r="AQ193">
            <v>12259100</v>
          </cell>
          <cell r="AS193">
            <v>15462616</v>
          </cell>
          <cell r="AT193">
            <v>16633000</v>
          </cell>
          <cell r="AU193" t="e">
            <v>#DIV/0!</v>
          </cell>
          <cell r="AV193" t="e">
            <v>#DIV/0!</v>
          </cell>
          <cell r="AW193" t="e">
            <v>#DIV/0!</v>
          </cell>
          <cell r="AX193">
            <v>8.8662612312003102</v>
          </cell>
          <cell r="AY193">
            <v>7.8936513308989351</v>
          </cell>
          <cell r="AZ193">
            <v>8.6002759867015666</v>
          </cell>
          <cell r="BA193">
            <v>8.6002759867015666</v>
          </cell>
          <cell r="BB193" t="e">
            <v>#DIV/0!</v>
          </cell>
        </row>
        <row r="194">
          <cell r="AI194" t="str">
            <v xml:space="preserve"> 2.1.3.4.</v>
          </cell>
          <cell r="AJ194" t="str">
            <v>Gastos Generales y otros</v>
          </cell>
          <cell r="AK194">
            <v>397683</v>
          </cell>
          <cell r="AL194">
            <v>599675</v>
          </cell>
          <cell r="AM194">
            <v>724957.4</v>
          </cell>
          <cell r="AN194">
            <v>853082.13</v>
          </cell>
          <cell r="AO194">
            <v>1321978.2999999998</v>
          </cell>
          <cell r="AP194">
            <v>1314492</v>
          </cell>
          <cell r="AQ194">
            <v>1314492</v>
          </cell>
          <cell r="AS194">
            <v>1211580</v>
          </cell>
          <cell r="AT194">
            <v>1155934</v>
          </cell>
          <cell r="AU194" t="e">
            <v>#DIV/0!</v>
          </cell>
          <cell r="AV194" t="e">
            <v>#DIV/0!</v>
          </cell>
          <cell r="AW194" t="e">
            <v>#DIV/0!</v>
          </cell>
          <cell r="AX194">
            <v>0.95291073580592356</v>
          </cell>
          <cell r="AY194">
            <v>1.0648891940439915</v>
          </cell>
          <cell r="AZ194">
            <v>0.92217160984993318</v>
          </cell>
          <cell r="BA194">
            <v>0.92217160984993318</v>
          </cell>
          <cell r="BB194" t="e">
            <v>#DIV/0!</v>
          </cell>
        </row>
        <row r="195">
          <cell r="AH195" t="str">
            <v xml:space="preserve"> PAGOS DE CAPITAL</v>
          </cell>
          <cell r="AK195">
            <v>973048</v>
          </cell>
          <cell r="AL195">
            <v>1339000</v>
          </cell>
          <cell r="AM195">
            <v>1745900</v>
          </cell>
          <cell r="AN195">
            <v>2316200</v>
          </cell>
          <cell r="AO195">
            <v>3169400</v>
          </cell>
          <cell r="AP195">
            <v>2280220</v>
          </cell>
          <cell r="AQ195">
            <v>2280220</v>
          </cell>
          <cell r="AS195">
            <v>2023098</v>
          </cell>
          <cell r="AT195">
            <v>2352450.3295800001</v>
          </cell>
          <cell r="AU195" t="e">
            <v>#DIV/0!</v>
          </cell>
          <cell r="AV195" t="e">
            <v>#DIV/0!</v>
          </cell>
          <cell r="AW195" t="e">
            <v>#DIV/0!</v>
          </cell>
          <cell r="AX195">
            <v>2.587244262488162</v>
          </cell>
          <cell r="AY195">
            <v>2.5530372258024405</v>
          </cell>
          <cell r="AZ195">
            <v>1.5996705557827773</v>
          </cell>
          <cell r="BA195">
            <v>1.5996705557827773</v>
          </cell>
          <cell r="BB195" t="e">
            <v>#DIV/0!</v>
          </cell>
        </row>
        <row r="196">
          <cell r="AH196" t="str">
            <v xml:space="preserve"> 2.2.1.</v>
          </cell>
          <cell r="AI196" t="str">
            <v xml:space="preserve"> Formación bruta de Capital Fijo</v>
          </cell>
          <cell r="AK196">
            <v>973048</v>
          </cell>
          <cell r="AL196">
            <v>1309000</v>
          </cell>
          <cell r="AM196">
            <v>1745900</v>
          </cell>
          <cell r="AN196">
            <v>2316200</v>
          </cell>
          <cell r="AO196">
            <v>3169400</v>
          </cell>
          <cell r="AP196">
            <v>2280220</v>
          </cell>
          <cell r="AQ196">
            <v>2280220</v>
          </cell>
          <cell r="AS196">
            <v>2023098</v>
          </cell>
          <cell r="AT196">
            <v>2352450.3295800001</v>
          </cell>
          <cell r="AU196" t="e">
            <v>#DIV/0!</v>
          </cell>
          <cell r="AV196" t="e">
            <v>#DIV/0!</v>
          </cell>
          <cell r="AW196" t="e">
            <v>#DIV/0!</v>
          </cell>
          <cell r="AX196">
            <v>2.587244262488162</v>
          </cell>
          <cell r="AY196">
            <v>2.5530372258024405</v>
          </cell>
          <cell r="AZ196">
            <v>1.5996705557827773</v>
          </cell>
          <cell r="BA196">
            <v>1.5996705557827773</v>
          </cell>
          <cell r="BB196" t="e">
            <v>#DIV/0!</v>
          </cell>
        </row>
        <row r="197">
          <cell r="AH197" t="str">
            <v xml:space="preserve"> 2.1.1.</v>
          </cell>
          <cell r="AI197" t="str">
            <v xml:space="preserve"> Otros</v>
          </cell>
          <cell r="AK197">
            <v>0</v>
          </cell>
          <cell r="AL197">
            <v>30000</v>
          </cell>
          <cell r="AM197">
            <v>0</v>
          </cell>
          <cell r="AN197">
            <v>0</v>
          </cell>
          <cell r="AO197">
            <v>0</v>
          </cell>
          <cell r="AP197">
            <v>0</v>
          </cell>
          <cell r="AQ197">
            <v>0</v>
          </cell>
          <cell r="AS197">
            <v>0</v>
          </cell>
          <cell r="AT197">
            <v>0</v>
          </cell>
          <cell r="AU197" t="e">
            <v>#DIV/0!</v>
          </cell>
          <cell r="AV197" t="e">
            <v>#DIV/0!</v>
          </cell>
          <cell r="AW197" t="e">
            <v>#DIV/0!</v>
          </cell>
          <cell r="AX197">
            <v>0</v>
          </cell>
          <cell r="AY197">
            <v>0</v>
          </cell>
          <cell r="AZ197">
            <v>0</v>
          </cell>
          <cell r="BA197">
            <v>0</v>
          </cell>
          <cell r="BB197" t="e">
            <v>#DIV/0!</v>
          </cell>
        </row>
        <row r="198">
          <cell r="AK198">
            <v>0</v>
          </cell>
          <cell r="AL198">
            <v>0</v>
          </cell>
          <cell r="AM198">
            <v>0</v>
          </cell>
          <cell r="AS198">
            <v>0</v>
          </cell>
          <cell r="AT198">
            <v>0</v>
          </cell>
        </row>
        <row r="199">
          <cell r="AK199">
            <v>-138732.73306045774</v>
          </cell>
          <cell r="AL199">
            <v>-797537</v>
          </cell>
          <cell r="AM199">
            <v>-1766600.790000001</v>
          </cell>
          <cell r="AN199">
            <v>-3314430.08</v>
          </cell>
          <cell r="AO199">
            <v>-4301445.309135465</v>
          </cell>
          <cell r="AP199">
            <v>-6608988</v>
          </cell>
          <cell r="AQ199">
            <v>-6300798</v>
          </cell>
          <cell r="AS199">
            <v>-7629774</v>
          </cell>
          <cell r="AT199">
            <v>-8736066.727455169</v>
          </cell>
          <cell r="AU199" t="e">
            <v>#DIV/0!</v>
          </cell>
          <cell r="AV199" t="e">
            <v>#DIV/0!</v>
          </cell>
          <cell r="AW199" t="e">
            <v>#DIV/0!</v>
          </cell>
          <cell r="AX199">
            <v>-3.7022883204810375</v>
          </cell>
          <cell r="AY199">
            <v>-3.464930270390651</v>
          </cell>
          <cell r="AZ199">
            <v>-4.6364839827392554</v>
          </cell>
          <cell r="BA199">
            <v>-4.420275692053842</v>
          </cell>
          <cell r="BB199" t="e">
            <v>#DIV/0!</v>
          </cell>
        </row>
        <row r="200">
          <cell r="AK200">
            <v>0</v>
          </cell>
          <cell r="AL200">
            <v>0</v>
          </cell>
          <cell r="AM200">
            <v>0</v>
          </cell>
          <cell r="AS200">
            <v>0</v>
          </cell>
          <cell r="AT200">
            <v>0</v>
          </cell>
        </row>
        <row r="201">
          <cell r="AK201">
            <v>96184.1</v>
          </cell>
          <cell r="AL201">
            <v>129400</v>
          </cell>
          <cell r="AM201">
            <v>172000</v>
          </cell>
          <cell r="AN201">
            <v>385074.61</v>
          </cell>
          <cell r="AO201">
            <v>248214.72892595999</v>
          </cell>
          <cell r="AP201">
            <v>321089.15788879001</v>
          </cell>
          <cell r="AQ201">
            <v>321089.15788879001</v>
          </cell>
          <cell r="AS201">
            <v>259276.78503759997</v>
          </cell>
          <cell r="AT201">
            <v>302834.40776999999</v>
          </cell>
          <cell r="AU201" t="e">
            <v>#DIV/0!</v>
          </cell>
          <cell r="AV201" t="e">
            <v>#DIV/0!</v>
          </cell>
          <cell r="AW201" t="e">
            <v>#DIV/0!</v>
          </cell>
          <cell r="AX201">
            <v>0.43013646289282725</v>
          </cell>
          <cell r="AY201">
            <v>0.19994366218856491</v>
          </cell>
          <cell r="AZ201">
            <v>0.2252575942916844</v>
          </cell>
          <cell r="BA201">
            <v>0.2252575942916844</v>
          </cell>
          <cell r="BB201" t="e">
            <v>#DIV/0!</v>
          </cell>
        </row>
        <row r="202">
          <cell r="AK202">
            <v>0</v>
          </cell>
          <cell r="AL202">
            <v>0</v>
          </cell>
          <cell r="AM202">
            <v>0</v>
          </cell>
          <cell r="AS202">
            <v>0</v>
          </cell>
          <cell r="AT202">
            <v>0</v>
          </cell>
        </row>
        <row r="203">
          <cell r="AK203">
            <v>-234916.83306045775</v>
          </cell>
          <cell r="AL203">
            <v>-926937</v>
          </cell>
          <cell r="AM203">
            <v>-1938600.790000001</v>
          </cell>
          <cell r="AN203">
            <v>-3699504.69</v>
          </cell>
          <cell r="AO203">
            <v>-4549660.0380614251</v>
          </cell>
          <cell r="AP203">
            <v>-6930077.1578887897</v>
          </cell>
          <cell r="AQ203">
            <v>-6621887.1578887897</v>
          </cell>
          <cell r="AS203">
            <v>-7889050.7850375995</v>
          </cell>
          <cell r="AT203">
            <v>-9038901.1352251694</v>
          </cell>
          <cell r="AU203" t="e">
            <v>#DIV/0!</v>
          </cell>
          <cell r="AV203" t="e">
            <v>#DIV/0!</v>
          </cell>
          <cell r="AW203" t="e">
            <v>#DIV/0!</v>
          </cell>
          <cell r="AX203">
            <v>-4.1324247833738648</v>
          </cell>
          <cell r="AY203">
            <v>-3.6648739325792157</v>
          </cell>
          <cell r="AZ203">
            <v>-4.8617415770309398</v>
          </cell>
          <cell r="BA203">
            <v>-4.6455332863455263</v>
          </cell>
          <cell r="BB203" t="e">
            <v>#DIV/0!</v>
          </cell>
        </row>
        <row r="204">
          <cell r="AK204">
            <v>0</v>
          </cell>
          <cell r="AL204">
            <v>0</v>
          </cell>
          <cell r="AM204">
            <v>0</v>
          </cell>
          <cell r="AS204">
            <v>0</v>
          </cell>
          <cell r="AT204">
            <v>0</v>
          </cell>
        </row>
        <row r="205">
          <cell r="AK205">
            <v>234916.83306045775</v>
          </cell>
          <cell r="AL205">
            <v>926937</v>
          </cell>
          <cell r="AM205">
            <v>1938600.790000001</v>
          </cell>
          <cell r="AN205">
            <v>3699504.69</v>
          </cell>
          <cell r="AO205">
            <v>4549660.0380614251</v>
          </cell>
          <cell r="AP205">
            <v>6930077.1578887897</v>
          </cell>
          <cell r="AQ205">
            <v>6621887.1578887897</v>
          </cell>
          <cell r="AS205">
            <v>7889050.7850375995</v>
          </cell>
          <cell r="AT205">
            <v>9038901.1352251694</v>
          </cell>
          <cell r="AU205" t="e">
            <v>#DIV/0!</v>
          </cell>
          <cell r="AV205" t="e">
            <v>#DIV/0!</v>
          </cell>
          <cell r="AW205" t="e">
            <v>#DIV/0!</v>
          </cell>
          <cell r="AX205">
            <v>4.1324247833738648</v>
          </cell>
          <cell r="AY205">
            <v>3.6648739325792157</v>
          </cell>
          <cell r="AZ205">
            <v>4.8617415770309398</v>
          </cell>
          <cell r="BA205">
            <v>4.6455332863455263</v>
          </cell>
          <cell r="BB205" t="e">
            <v>#DIV/0!</v>
          </cell>
        </row>
        <row r="206">
          <cell r="AH206" t="str">
            <v xml:space="preserve"> CREDITO EXTERNO NETO</v>
          </cell>
          <cell r="AK206">
            <v>-281000</v>
          </cell>
          <cell r="AL206">
            <v>119500</v>
          </cell>
          <cell r="AM206">
            <v>223200</v>
          </cell>
          <cell r="AN206">
            <v>1079814</v>
          </cell>
          <cell r="AO206">
            <v>1096414</v>
          </cell>
          <cell r="AP206">
            <v>2657500</v>
          </cell>
          <cell r="AQ206">
            <v>2657500</v>
          </cell>
          <cell r="AS206">
            <v>3116594</v>
          </cell>
          <cell r="AT206">
            <v>1951997.6952539999</v>
          </cell>
          <cell r="AU206" t="e">
            <v>#DIV/0!</v>
          </cell>
          <cell r="AV206" t="e">
            <v>#DIV/0!</v>
          </cell>
          <cell r="AW206" t="e">
            <v>#DIV/0!</v>
          </cell>
          <cell r="AX206">
            <v>1.2061750177248909</v>
          </cell>
          <cell r="AY206">
            <v>0.88319106357384902</v>
          </cell>
          <cell r="AZ206">
            <v>1.864348397081304</v>
          </cell>
          <cell r="BA206">
            <v>1.864348397081304</v>
          </cell>
          <cell r="BB206" t="e">
            <v>#DIV/0!</v>
          </cell>
        </row>
        <row r="207">
          <cell r="AH207" t="str">
            <v xml:space="preserve"> 6.1.1.</v>
          </cell>
          <cell r="AI207" t="str">
            <v xml:space="preserve"> Mediano y Largo Plazo</v>
          </cell>
          <cell r="AK207">
            <v>-281000</v>
          </cell>
          <cell r="AL207">
            <v>119500</v>
          </cell>
          <cell r="AM207">
            <v>223200</v>
          </cell>
          <cell r="AN207">
            <v>1079814</v>
          </cell>
          <cell r="AO207">
            <v>1096414</v>
          </cell>
          <cell r="AP207">
            <v>2657500</v>
          </cell>
          <cell r="AQ207">
            <v>2657500</v>
          </cell>
          <cell r="AS207">
            <v>3116594</v>
          </cell>
          <cell r="AT207">
            <v>1951997.6952539999</v>
          </cell>
          <cell r="AU207" t="e">
            <v>#DIV/0!</v>
          </cell>
          <cell r="AV207" t="e">
            <v>#DIV/0!</v>
          </cell>
          <cell r="AW207" t="e">
            <v>#DIV/0!</v>
          </cell>
          <cell r="AX207">
            <v>1.2061750177248909</v>
          </cell>
          <cell r="AY207">
            <v>0.88319106357384902</v>
          </cell>
          <cell r="AZ207">
            <v>1.864348397081304</v>
          </cell>
          <cell r="BA207">
            <v>1.864348397081304</v>
          </cell>
          <cell r="BB207" t="e">
            <v>#DIV/0!</v>
          </cell>
        </row>
        <row r="208">
          <cell r="AI208" t="str">
            <v xml:space="preserve"> 6.1.1.1.</v>
          </cell>
          <cell r="AJ208" t="str">
            <v xml:space="preserve"> Desembolsos</v>
          </cell>
          <cell r="AK208">
            <v>397000</v>
          </cell>
          <cell r="AL208">
            <v>791500</v>
          </cell>
          <cell r="AM208">
            <v>847900</v>
          </cell>
          <cell r="AN208">
            <v>1819962</v>
          </cell>
          <cell r="AO208">
            <v>1889514</v>
          </cell>
          <cell r="AP208">
            <v>3663300</v>
          </cell>
          <cell r="AQ208">
            <v>3663300</v>
          </cell>
          <cell r="AS208">
            <v>4711114</v>
          </cell>
          <cell r="AT208">
            <v>4094839</v>
          </cell>
          <cell r="AU208" t="e">
            <v>#DIV/0!</v>
          </cell>
          <cell r="AV208" t="e">
            <v>#DIV/0!</v>
          </cell>
          <cell r="AW208" t="e">
            <v>#DIV/0!</v>
          </cell>
          <cell r="AX208">
            <v>2.0329359478656763</v>
          </cell>
          <cell r="AY208">
            <v>1.5220545152631013</v>
          </cell>
          <cell r="AZ208">
            <v>2.5699595420613135</v>
          </cell>
          <cell r="BA208">
            <v>2.5699595420613135</v>
          </cell>
          <cell r="BB208" t="e">
            <v>#DIV/0!</v>
          </cell>
        </row>
        <row r="209">
          <cell r="AI209" t="str">
            <v xml:space="preserve"> 6.1.1.2.</v>
          </cell>
          <cell r="AJ209" t="str">
            <v xml:space="preserve"> Amortizaciones</v>
          </cell>
          <cell r="AK209">
            <v>678000</v>
          </cell>
          <cell r="AL209">
            <v>672000</v>
          </cell>
          <cell r="AM209">
            <v>624700</v>
          </cell>
          <cell r="AN209">
            <v>740148</v>
          </cell>
          <cell r="AO209">
            <v>793100</v>
          </cell>
          <cell r="AP209">
            <v>1005800</v>
          </cell>
          <cell r="AQ209">
            <v>1005800</v>
          </cell>
          <cell r="AS209">
            <v>1594520</v>
          </cell>
          <cell r="AT209">
            <v>2142841.3047460001</v>
          </cell>
          <cell r="AU209" t="e">
            <v>#DIV/0!</v>
          </cell>
          <cell r="AV209" t="e">
            <v>#DIV/0!</v>
          </cell>
          <cell r="AW209" t="e">
            <v>#DIV/0!</v>
          </cell>
          <cell r="AX209">
            <v>0.82676093014078578</v>
          </cell>
          <cell r="AY209">
            <v>0.63886345168925207</v>
          </cell>
          <cell r="AZ209">
            <v>0.70561114498000954</v>
          </cell>
          <cell r="BA209">
            <v>0.70561114498000954</v>
          </cell>
          <cell r="BB209" t="e">
            <v>#DIV/0!</v>
          </cell>
        </row>
        <row r="210">
          <cell r="AH210" t="str">
            <v xml:space="preserve"> 6.1.2.</v>
          </cell>
          <cell r="AI210" t="str">
            <v xml:space="preserve"> Corto Plazo Neto</v>
          </cell>
          <cell r="AK210">
            <v>0</v>
          </cell>
          <cell r="AL210">
            <v>0</v>
          </cell>
          <cell r="AM210">
            <v>0</v>
          </cell>
          <cell r="AS210">
            <v>0</v>
          </cell>
          <cell r="AT210">
            <v>0</v>
          </cell>
          <cell r="AU210" t="e">
            <v>#DIV/0!</v>
          </cell>
          <cell r="AV210" t="e">
            <v>#DIV/0!</v>
          </cell>
          <cell r="AW210" t="e">
            <v>#DIV/0!</v>
          </cell>
          <cell r="BB210" t="e">
            <v>#DIV/0!</v>
          </cell>
        </row>
        <row r="211">
          <cell r="AH211" t="str">
            <v xml:space="preserve"> CREDITO INTERNO NETO</v>
          </cell>
          <cell r="AK211">
            <v>484000</v>
          </cell>
          <cell r="AL211">
            <v>235200</v>
          </cell>
          <cell r="AM211">
            <v>1755400</v>
          </cell>
          <cell r="AN211">
            <v>1790859</v>
          </cell>
          <cell r="AO211">
            <v>3517900</v>
          </cell>
          <cell r="AP211">
            <v>3985000</v>
          </cell>
          <cell r="AQ211">
            <v>3985000</v>
          </cell>
          <cell r="AS211">
            <v>4804244</v>
          </cell>
          <cell r="AT211">
            <v>5272589.5999999996</v>
          </cell>
          <cell r="AU211" t="e">
            <v>#DIV/0!</v>
          </cell>
          <cell r="AV211" t="e">
            <v>#DIV/0!</v>
          </cell>
          <cell r="AW211" t="e">
            <v>#DIV/0!</v>
          </cell>
          <cell r="AX211">
            <v>2.000427282909631</v>
          </cell>
          <cell r="AY211">
            <v>2.8337633800247382</v>
          </cell>
          <cell r="AZ211">
            <v>2.7956456678716823</v>
          </cell>
          <cell r="BA211">
            <v>2.7956456678716823</v>
          </cell>
          <cell r="BB211" t="e">
            <v>#DIV/0!</v>
          </cell>
        </row>
        <row r="212">
          <cell r="AH212" t="str">
            <v xml:space="preserve"> 6.2.1.</v>
          </cell>
          <cell r="AI212" t="str">
            <v xml:space="preserve"> Desembolsos</v>
          </cell>
          <cell r="AK212">
            <v>722000</v>
          </cell>
          <cell r="AL212">
            <v>1633300</v>
          </cell>
          <cell r="AM212">
            <v>2510800</v>
          </cell>
          <cell r="AN212">
            <v>3874081</v>
          </cell>
          <cell r="AO212">
            <v>6918965</v>
          </cell>
          <cell r="AP212">
            <v>7708700</v>
          </cell>
          <cell r="AQ212">
            <v>7708700</v>
          </cell>
          <cell r="AS212">
            <v>11396854</v>
          </cell>
          <cell r="AT212">
            <v>11729855</v>
          </cell>
          <cell r="AU212" t="e">
            <v>#DIV/0!</v>
          </cell>
          <cell r="AV212" t="e">
            <v>#DIV/0!</v>
          </cell>
          <cell r="AW212" t="e">
            <v>#DIV/0!</v>
          </cell>
          <cell r="AX212">
            <v>4.3274302045006481</v>
          </cell>
          <cell r="AY212">
            <v>5.5734130147738323</v>
          </cell>
          <cell r="AZ212">
            <v>5.4079783588262078</v>
          </cell>
          <cell r="BA212">
            <v>5.4079783588262078</v>
          </cell>
          <cell r="BB212" t="e">
            <v>#DIV/0!</v>
          </cell>
        </row>
        <row r="213">
          <cell r="AH213" t="str">
            <v xml:space="preserve"> 6.2.2.</v>
          </cell>
          <cell r="AI213" t="str">
            <v xml:space="preserve"> Amortizaciones</v>
          </cell>
          <cell r="AK213">
            <v>238000</v>
          </cell>
          <cell r="AL213">
            <v>1398100</v>
          </cell>
          <cell r="AM213">
            <v>755400</v>
          </cell>
          <cell r="AN213">
            <v>2083222</v>
          </cell>
          <cell r="AO213">
            <v>3401065</v>
          </cell>
          <cell r="AP213">
            <v>3723700</v>
          </cell>
          <cell r="AQ213">
            <v>3723700</v>
          </cell>
          <cell r="AS213">
            <v>6592610</v>
          </cell>
          <cell r="AT213">
            <v>6457265.4000000004</v>
          </cell>
          <cell r="AU213" t="e">
            <v>#DIV/0!</v>
          </cell>
          <cell r="AV213" t="e">
            <v>#DIV/0!</v>
          </cell>
          <cell r="AW213" t="e">
            <v>#DIV/0!</v>
          </cell>
          <cell r="AX213">
            <v>2.3270029215910171</v>
          </cell>
          <cell r="AY213">
            <v>2.7396496347490937</v>
          </cell>
          <cell r="AZ213">
            <v>2.6123326909545255</v>
          </cell>
          <cell r="BA213">
            <v>2.6123326909545255</v>
          </cell>
          <cell r="BB213" t="e">
            <v>#DIV/0!</v>
          </cell>
        </row>
        <row r="214">
          <cell r="AH214" t="str">
            <v>OTROS RECURSOS</v>
          </cell>
          <cell r="AK214">
            <v>31916.83306045772</v>
          </cell>
          <cell r="AL214">
            <v>572237</v>
          </cell>
          <cell r="AM214">
            <v>-39999.209999999031</v>
          </cell>
          <cell r="AN214">
            <v>828831.69</v>
          </cell>
          <cell r="AO214">
            <v>-64653.96193857491</v>
          </cell>
          <cell r="AP214">
            <v>443883.15788878966</v>
          </cell>
          <cell r="AQ214">
            <v>-20612.842111210339</v>
          </cell>
          <cell r="AS214">
            <v>-31787.214962400496</v>
          </cell>
          <cell r="AT214">
            <v>1814313.8399711698</v>
          </cell>
          <cell r="AU214" t="e">
            <v>#DIV/0!</v>
          </cell>
          <cell r="AV214" t="e">
            <v>#DIV/0!</v>
          </cell>
          <cell r="AW214" t="e">
            <v>#DIV/0!</v>
          </cell>
          <cell r="AX214">
            <v>0.9258224827393432</v>
          </cell>
          <cell r="AY214">
            <v>-5.2080511019371445E-2</v>
          </cell>
          <cell r="AZ214">
            <v>0.31140276722534421</v>
          </cell>
          <cell r="BA214">
            <v>-1.4460778607460015E-2</v>
          </cell>
          <cell r="BB214" t="e">
            <v>#DIV/0!</v>
          </cell>
        </row>
        <row r="215">
          <cell r="AH215" t="str">
            <v xml:space="preserve"> 6.3.1.</v>
          </cell>
          <cell r="AI215" t="str">
            <v>Telefonía</v>
          </cell>
          <cell r="AK215">
            <v>0</v>
          </cell>
          <cell r="AL215">
            <v>0</v>
          </cell>
          <cell r="AM215">
            <v>0</v>
          </cell>
          <cell r="AN215">
            <v>90000</v>
          </cell>
          <cell r="AO215">
            <v>91614</v>
          </cell>
          <cell r="AP215">
            <v>111391</v>
          </cell>
          <cell r="AQ215">
            <v>111391</v>
          </cell>
          <cell r="AS215">
            <v>138701</v>
          </cell>
          <cell r="AT215">
            <v>193889.75599999996</v>
          </cell>
          <cell r="AU215" t="e">
            <v>#DIV/0!</v>
          </cell>
          <cell r="AV215" t="e">
            <v>#DIV/0!</v>
          </cell>
          <cell r="AW215" t="e">
            <v>#DIV/0!</v>
          </cell>
          <cell r="AX215">
            <v>0.10053189863739512</v>
          </cell>
          <cell r="AY215">
            <v>7.3797549190592782E-2</v>
          </cell>
          <cell r="AZ215">
            <v>7.8145487224565768E-2</v>
          </cell>
          <cell r="BA215">
            <v>7.8145487224565768E-2</v>
          </cell>
          <cell r="BB215" t="e">
            <v>#DIV/0!</v>
          </cell>
        </row>
        <row r="216">
          <cell r="AH216" t="str">
            <v xml:space="preserve"> 6.3.2.</v>
          </cell>
          <cell r="AI216" t="str">
            <v>Privatizaciones y concesiones</v>
          </cell>
          <cell r="AK216">
            <v>0</v>
          </cell>
          <cell r="AL216">
            <v>1412500</v>
          </cell>
          <cell r="AM216">
            <v>5900</v>
          </cell>
          <cell r="AN216">
            <v>733300</v>
          </cell>
          <cell r="AO216">
            <v>429765</v>
          </cell>
          <cell r="AP216">
            <v>0</v>
          </cell>
          <cell r="AQ216">
            <v>0</v>
          </cell>
          <cell r="AS216">
            <v>1100379</v>
          </cell>
          <cell r="AT216">
            <v>4027199</v>
          </cell>
          <cell r="AU216" t="e">
            <v>#DIV/0!</v>
          </cell>
          <cell r="AV216" t="e">
            <v>#DIV/0!</v>
          </cell>
          <cell r="AW216" t="e">
            <v>#DIV/0!</v>
          </cell>
          <cell r="AX216">
            <v>0.81911156967557597</v>
          </cell>
          <cell r="AY216">
            <v>0.34618730464661635</v>
          </cell>
          <cell r="AZ216">
            <v>0</v>
          </cell>
          <cell r="BA216">
            <v>0</v>
          </cell>
          <cell r="BB216" t="e">
            <v>#DIV/0!</v>
          </cell>
        </row>
        <row r="217">
          <cell r="AH217" t="str">
            <v xml:space="preserve"> 6.3.3.</v>
          </cell>
          <cell r="AI217" t="str">
            <v>Fondo Comunicaciones</v>
          </cell>
          <cell r="AK217">
            <v>0</v>
          </cell>
          <cell r="AL217">
            <v>0</v>
          </cell>
          <cell r="AM217">
            <v>0</v>
          </cell>
          <cell r="AN217">
            <v>0</v>
          </cell>
          <cell r="AO217">
            <v>0</v>
          </cell>
          <cell r="AP217">
            <v>0</v>
          </cell>
          <cell r="AS217">
            <v>0</v>
          </cell>
          <cell r="AT217">
            <v>0</v>
          </cell>
          <cell r="AX217">
            <v>0</v>
          </cell>
          <cell r="AY217">
            <v>0</v>
          </cell>
          <cell r="AZ217">
            <v>0</v>
          </cell>
          <cell r="BA217">
            <v>0</v>
          </cell>
        </row>
        <row r="218">
          <cell r="AH218" t="str">
            <v xml:space="preserve"> 6.3.4.</v>
          </cell>
          <cell r="AI218" t="str">
            <v>Faltante</v>
          </cell>
          <cell r="AK218">
            <v>0</v>
          </cell>
          <cell r="AL218">
            <v>0</v>
          </cell>
          <cell r="AM218">
            <v>0</v>
          </cell>
          <cell r="AN218">
            <v>76882.689999999944</v>
          </cell>
          <cell r="AO218">
            <v>-73746.96193857491</v>
          </cell>
          <cell r="AP218">
            <v>176186.15788878966</v>
          </cell>
          <cell r="AQ218">
            <v>-132003.84211121034</v>
          </cell>
          <cell r="AS218">
            <v>-2662266.2149624005</v>
          </cell>
          <cell r="AT218">
            <v>-1693197.9160288302</v>
          </cell>
          <cell r="AX218">
            <v>8.5879586645002948E-2</v>
          </cell>
          <cell r="AY218">
            <v>-5.9405167892666581E-2</v>
          </cell>
          <cell r="AZ218">
            <v>0.12360202485338796</v>
          </cell>
          <cell r="BA218">
            <v>-9.2606265832025775E-2</v>
          </cell>
        </row>
        <row r="219">
          <cell r="AH219" t="str">
            <v xml:space="preserve"> 6.3.5</v>
          </cell>
          <cell r="AI219" t="str">
            <v>Otros</v>
          </cell>
          <cell r="AK219">
            <v>31916.83306045772</v>
          </cell>
          <cell r="AL219">
            <v>-840263</v>
          </cell>
          <cell r="AM219">
            <v>-45899.209999999031</v>
          </cell>
          <cell r="AN219">
            <v>-71351</v>
          </cell>
          <cell r="AO219">
            <v>-512286</v>
          </cell>
          <cell r="AP219">
            <v>156306</v>
          </cell>
          <cell r="AS219">
            <v>1391399</v>
          </cell>
          <cell r="AT219">
            <v>-713577</v>
          </cell>
          <cell r="AU219" t="e">
            <v>#DIV/0!</v>
          </cell>
          <cell r="AV219" t="e">
            <v>#DIV/0!</v>
          </cell>
          <cell r="AW219" t="e">
            <v>#DIV/0!</v>
          </cell>
          <cell r="AX219">
            <v>-7.9700572218630875E-2</v>
          </cell>
          <cell r="AY219">
            <v>-0.41266019696391404</v>
          </cell>
          <cell r="AZ219">
            <v>0.10965525514739051</v>
          </cell>
          <cell r="BA219">
            <v>0</v>
          </cell>
          <cell r="BB219" t="e">
            <v>#DIV/0!</v>
          </cell>
        </row>
        <row r="220">
          <cell r="AK220">
            <v>-3.1603309591671266E-3</v>
          </cell>
          <cell r="AL220">
            <v>-1.3754837899641425E-2</v>
          </cell>
          <cell r="AM220">
            <v>-2.4031833418032847E-2</v>
          </cell>
          <cell r="AN220">
            <v>-3.7022883204810376E-2</v>
          </cell>
          <cell r="AO220">
            <v>-3.4649302703906509E-2</v>
          </cell>
          <cell r="AP220">
            <v>-4.6364839827392555E-2</v>
          </cell>
          <cell r="AQ220">
            <v>-4.4202756920538419E-2</v>
          </cell>
          <cell r="AS220">
            <v>-4.9717682516542537E-2</v>
          </cell>
          <cell r="AT220">
            <v>-4.957349150115721E-2</v>
          </cell>
        </row>
        <row r="221">
          <cell r="AK221">
            <v>43898166</v>
          </cell>
          <cell r="AL221">
            <v>57982290</v>
          </cell>
          <cell r="AM221">
            <v>73510862</v>
          </cell>
          <cell r="AN221">
            <v>89523824</v>
          </cell>
          <cell r="AO221">
            <v>124142334</v>
          </cell>
          <cell r="AP221">
            <v>142543100</v>
          </cell>
          <cell r="AQ221">
            <v>142543100</v>
          </cell>
          <cell r="AS221">
            <v>153461980</v>
          </cell>
          <cell r="AT221">
            <v>176224560</v>
          </cell>
        </row>
        <row r="223">
          <cell r="AK223">
            <v>36504.734179629631</v>
          </cell>
        </row>
      </sheetData>
      <sheetData sheetId="2" refreshError="1"/>
      <sheetData sheetId="3"/>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s>
    <sheetDataSet>
      <sheetData sheetId="0" refreshError="1">
        <row r="3">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1"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P 2002 A 2020"/>
      <sheetName val="SGP-PRESUPUESTADO 2003"/>
      <sheetName val="Distr. S.G.P."/>
      <sheetName val="BASE DE COSTOS MUNICIPIOS-MEN"/>
      <sheetName val="CALIDAD-2002"/>
      <sheetName val="BASE DE COSTOS MUNICIPIOS-DNP"/>
      <sheetName val="PROPUESTA REFORMA PENSIONAL"/>
      <sheetName val="RESPUESTA DERECHO DE PETICION"/>
      <sheetName val="PICN para Educación"/>
      <sheetName val="SITUADO FISCAL 1993 A 1998"/>
      <sheetName val="SITUAD FISCAL Y FEC 1996 A 2002"/>
      <sheetName val="RECURSOS FEC"/>
      <sheetName val="COSTOS Vs. INGRESOS SGP-2002"/>
      <sheetName val="COMPARATIVO"/>
      <sheetName val="RESUMEN COSTOS Vs. SGP 2002"/>
      <sheetName val="SITUACION FINANCIERA A 2002"/>
      <sheetName val="SITUACION FINANCIERA 2003 11-12"/>
      <sheetName val="SITUACION FINANCIERA 2003-12-12"/>
      <sheetName val="EDUCACION Vs. SALUD"/>
      <sheetName val="Prestserv-MEN-Proyectar  SGP"/>
      <sheetName val="Prestserv-MEN-2001-Proy.2002"/>
      <sheetName val="Aportespatr.-MEN-2001-Proy.2002"/>
      <sheetName val="Respresaport-MEN-2001-Proy.2002"/>
      <sheetName val="Resumendeficit-MEN-2001"/>
      <sheetName val="costosprestservcdeudas-MEN-2001"/>
      <sheetName val="DEFICITCONVEN-MEN-2001"/>
      <sheetName val="Deudas Paragrafo 3 artículo 15 "/>
      <sheetName val="deudas verificadas a 2001"/>
      <sheetName val="Deudas a 31-12-2001-Millones"/>
      <sheetName val="DEUDAS A 31-12-2001-Pesos"/>
      <sheetName val="DEUDAS 31-12-2000"/>
      <sheetName val="GIROS SITUAD.FISCAL- 2000"/>
      <sheetName val="GIROS SITUADO FISCAL Y FEC 2001"/>
      <sheetName val="COMPROMISOS Y PAGOS SGP 2002"/>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1-VERSION DGP-SEPTIEM"/>
      <sheetName val="COSTOS 2000 Y 2001- PRESUPUESTO"/>
      <sheetName val="RESUMEN COSTOS 2001"/>
      <sheetName val="COSTOS 2001-ACTUALIZ.COSTOS MEN"/>
      <sheetName val="MENSUALIDAD 2002 DEPTOS Y MUNIC"/>
      <sheetName val="MENSUALIDAD 2002 MUNIC.NO CERTI"/>
      <sheetName val="EJECUCION  POR RUBRO A 2001"/>
      <sheetName val="COSTOS PROYECTADOS 2002"/>
      <sheetName val="TOTAL SITUADO FISCAL + $250.288"/>
      <sheetName val="SITUAD.FISC.FEC 96-01-PLAN FINA"/>
      <sheetName val="DISTRIBICION DE $784 Y $427"/>
      <sheetName val="TOTAL SITUADO 1996 Vs 2001"/>
      <sheetName val="SITUADO FISCAL 1993 "/>
      <sheetName val="RESUMEN 1996 A 2001 (2)"/>
      <sheetName val="RESUMEN 1996 A 2001"/>
      <sheetName val="SITUADO FISCAL 2001"/>
      <sheetName val="SITUADO FISCAL AFORADO"/>
      <sheetName val="VALOR UN PUNTO 200-9%-2,5%  "/>
      <sheetName val="VALOR PUNTO 2001-DECRETO 2713  "/>
      <sheetName val="VALOR PUNTO 2002-DECRETO 688"/>
      <sheetName val="VALOR PUNTO 2002-DECRETO 68 (3)"/>
      <sheetName val="VALOR PUNTO 2002-DECRETO 68 (4)"/>
      <sheetName val="incremento salarial por rangos"/>
      <sheetName val="VALOR PUNTO PROYECTADO 2003"/>
      <sheetName val="AHORRO POR POLÍTICA SALARIAL"/>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CARTAGENA"/>
      <sheetName val="BOYACA"/>
      <sheetName val="ANTIOQUIA"/>
      <sheetName val="QUINDIO"/>
      <sheetName val="VALLE"/>
      <sheetName val="BOGOTA"/>
      <sheetName val="SUCRE"/>
      <sheetName val="HUILA"/>
      <sheetName val="VALOR PUNTO 2002-DECRETO 68 (2)"/>
      <sheetName val="DECRETOS SALARIALES DOCENTES"/>
      <sheetName val="EVOLUCION DE LOS 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Seguim. SSF"/>
      <sheetName val="Seguimiento SSF"/>
      <sheetName val="Formato Largo"/>
      <sheetName val="Resumen OPEF"/>
      <sheetName val="Reporte OPEF"/>
      <sheetName val="Resumen MES OPEF"/>
      <sheetName val="Confis Marzo 7-97"/>
      <sheetName val="Reclasificación"/>
      <sheetName val="Historia desembolsos"/>
      <sheetName val="Contingencias 1997"/>
      <sheetName val="Formato FMI"/>
      <sheetName val="Elasticidad"/>
      <sheetName val="Que pasaría si...."/>
    </sheetNames>
    <sheetDataSet>
      <sheetData sheetId="0" refreshError="1">
        <row r="1">
          <cell r="AE1">
            <v>1183.4304445100188</v>
          </cell>
          <cell r="AF1">
            <v>2737.1786575030073</v>
          </cell>
        </row>
        <row r="6">
          <cell r="L6" t="str">
            <v>TESORERIA</v>
          </cell>
          <cell r="M6" t="str">
            <v>RESTO</v>
          </cell>
          <cell r="N6" t="str">
            <v>TOTAL</v>
          </cell>
          <cell r="Q6" t="str">
            <v>Observ.</v>
          </cell>
          <cell r="R6" t="str">
            <v>Observ.</v>
          </cell>
          <cell r="S6" t="str">
            <v>Observ.</v>
          </cell>
          <cell r="T6" t="str">
            <v>Observ.</v>
          </cell>
          <cell r="U6" t="str">
            <v>Observ.</v>
          </cell>
          <cell r="V6" t="str">
            <v>Observ.</v>
          </cell>
          <cell r="W6" t="str">
            <v>Observ.</v>
          </cell>
          <cell r="X6" t="str">
            <v>Observ.</v>
          </cell>
          <cell r="Y6" t="str">
            <v>Observ.</v>
          </cell>
          <cell r="Z6" t="str">
            <v>Observ.</v>
          </cell>
          <cell r="AA6" t="str">
            <v xml:space="preserve">Total </v>
          </cell>
          <cell r="AB6" t="str">
            <v>% PIB</v>
          </cell>
          <cell r="AC6" t="str">
            <v>% PIB</v>
          </cell>
          <cell r="AD6" t="str">
            <v>% PIB</v>
          </cell>
          <cell r="AE6" t="str">
            <v>Progr.</v>
          </cell>
          <cell r="AF6" t="str">
            <v>Progr.</v>
          </cell>
          <cell r="AG6" t="str">
            <v>Progr.</v>
          </cell>
          <cell r="AH6" t="str">
            <v>Progr.</v>
          </cell>
          <cell r="AI6" t="str">
            <v>Progr.</v>
          </cell>
          <cell r="AJ6" t="str">
            <v>Progr.</v>
          </cell>
          <cell r="AK6" t="str">
            <v>Progr.</v>
          </cell>
          <cell r="AL6" t="str">
            <v>Progr.</v>
          </cell>
          <cell r="AM6" t="str">
            <v>Progr.</v>
          </cell>
          <cell r="AN6" t="str">
            <v>Progr.</v>
          </cell>
          <cell r="AO6" t="str">
            <v>Progr.</v>
          </cell>
          <cell r="AP6" t="str">
            <v>Observ.-Prog.</v>
          </cell>
          <cell r="AQ6" t="str">
            <v>Observ.-Prog.</v>
          </cell>
          <cell r="AR6" t="str">
            <v>Observ.-Prog.</v>
          </cell>
          <cell r="AS6" t="str">
            <v>Observ.-Prog.</v>
          </cell>
          <cell r="AT6" t="str">
            <v>Observ.-Prog.</v>
          </cell>
          <cell r="AU6" t="str">
            <v>Observ.-Prog.</v>
          </cell>
          <cell r="AV6" t="str">
            <v>Observ-Prog</v>
          </cell>
          <cell r="AW6" t="str">
            <v>Observ-Prog</v>
          </cell>
          <cell r="AX6" t="str">
            <v>Observ-Prog</v>
          </cell>
          <cell r="AY6" t="str">
            <v>Observ.</v>
          </cell>
          <cell r="AZ6" t="str">
            <v>Observ.</v>
          </cell>
          <cell r="BA6" t="str">
            <v>Observ.</v>
          </cell>
          <cell r="BB6" t="str">
            <v>Observ.</v>
          </cell>
          <cell r="BC6" t="str">
            <v>Observ.</v>
          </cell>
          <cell r="BD6" t="str">
            <v>Observ.</v>
          </cell>
          <cell r="BE6" t="str">
            <v>Observ.</v>
          </cell>
          <cell r="BF6" t="str">
            <v>Observ.</v>
          </cell>
          <cell r="BG6" t="str">
            <v>Observ.</v>
          </cell>
          <cell r="BH6" t="str">
            <v>Progr.</v>
          </cell>
          <cell r="BI6" t="str">
            <v>Progr.</v>
          </cell>
          <cell r="BJ6" t="str">
            <v>Progr.</v>
          </cell>
          <cell r="BK6" t="str">
            <v>Progr.</v>
          </cell>
          <cell r="BL6" t="str">
            <v>Progr.</v>
          </cell>
          <cell r="BM6" t="str">
            <v>Progr.</v>
          </cell>
          <cell r="BN6" t="str">
            <v>Progr.</v>
          </cell>
          <cell r="BO6" t="str">
            <v>Progr.</v>
          </cell>
          <cell r="BP6" t="str">
            <v>Progr.</v>
          </cell>
          <cell r="BQ6" t="str">
            <v>Observ-Progr</v>
          </cell>
          <cell r="BR6" t="str">
            <v>Observ-Progr</v>
          </cell>
          <cell r="BS6" t="str">
            <v>Observ-Progr</v>
          </cell>
          <cell r="BT6" t="str">
            <v>Observ-Progr</v>
          </cell>
          <cell r="BU6" t="str">
            <v>Observ-Progr</v>
          </cell>
          <cell r="BV6" t="str">
            <v>Observ-Progr</v>
          </cell>
          <cell r="BW6" t="str">
            <v>Observ-Progr</v>
          </cell>
          <cell r="BX6" t="str">
            <v>Observ-Progr</v>
          </cell>
          <cell r="BY6" t="str">
            <v>Observ-Progr</v>
          </cell>
          <cell r="BZ6" t="str">
            <v>Observ.</v>
          </cell>
          <cell r="CA6" t="str">
            <v>Observ.</v>
          </cell>
          <cell r="CB6" t="str">
            <v>Observ.</v>
          </cell>
          <cell r="CC6" t="str">
            <v>Observ.</v>
          </cell>
          <cell r="CD6" t="str">
            <v>Observ.</v>
          </cell>
          <cell r="CE6" t="str">
            <v>Diferencias</v>
          </cell>
          <cell r="CF6" t="str">
            <v>Variación</v>
          </cell>
        </row>
        <row r="7">
          <cell r="L7" t="str">
            <v>CSF</v>
          </cell>
          <cell r="M7" t="str">
            <v>SSF</v>
          </cell>
          <cell r="N7" t="str">
            <v>CSF+SSF</v>
          </cell>
          <cell r="Q7">
            <v>35490</v>
          </cell>
          <cell r="R7">
            <v>35521</v>
          </cell>
          <cell r="S7">
            <v>35551</v>
          </cell>
          <cell r="T7">
            <v>35582</v>
          </cell>
          <cell r="U7">
            <v>35612</v>
          </cell>
          <cell r="V7">
            <v>35643</v>
          </cell>
          <cell r="W7">
            <v>35674</v>
          </cell>
          <cell r="X7">
            <v>35704</v>
          </cell>
          <cell r="Y7">
            <v>35735</v>
          </cell>
          <cell r="Z7">
            <v>35765</v>
          </cell>
          <cell r="AA7">
            <v>1997</v>
          </cell>
          <cell r="AB7" t="str">
            <v>CSF</v>
          </cell>
          <cell r="AC7" t="str">
            <v>SSF</v>
          </cell>
          <cell r="AD7" t="str">
            <v>CSF+SSF</v>
          </cell>
          <cell r="AE7" t="str">
            <v>Ene</v>
          </cell>
          <cell r="AF7" t="str">
            <v>Feb</v>
          </cell>
          <cell r="AG7" t="str">
            <v>Mar</v>
          </cell>
          <cell r="AH7" t="str">
            <v>Abr</v>
          </cell>
          <cell r="AI7" t="str">
            <v>May</v>
          </cell>
          <cell r="AJ7" t="str">
            <v>Jun</v>
          </cell>
          <cell r="AK7" t="str">
            <v>Jul</v>
          </cell>
          <cell r="AL7" t="str">
            <v>Ago</v>
          </cell>
          <cell r="AM7" t="str">
            <v>Sep</v>
          </cell>
          <cell r="AN7" t="str">
            <v>Oct</v>
          </cell>
          <cell r="AO7" t="str">
            <v>Nov</v>
          </cell>
          <cell r="AP7" t="str">
            <v>Enero</v>
          </cell>
          <cell r="AQ7" t="str">
            <v>Febrero</v>
          </cell>
          <cell r="AR7" t="str">
            <v>Marzo</v>
          </cell>
          <cell r="AS7" t="str">
            <v>Abril</v>
          </cell>
          <cell r="AT7" t="str">
            <v>Mayo</v>
          </cell>
          <cell r="AU7" t="str">
            <v>Junio</v>
          </cell>
          <cell r="AV7" t="str">
            <v>Julio</v>
          </cell>
          <cell r="AW7" t="str">
            <v>Agosto</v>
          </cell>
          <cell r="AX7" t="str">
            <v>Septiembre</v>
          </cell>
          <cell r="AY7" t="str">
            <v>Ene-Feb</v>
          </cell>
          <cell r="AZ7" t="str">
            <v>Ene-Mar</v>
          </cell>
          <cell r="BA7" t="str">
            <v>Ene-Abr</v>
          </cell>
          <cell r="BB7" t="str">
            <v>Ene-May</v>
          </cell>
          <cell r="BC7" t="str">
            <v>Ene-Jun</v>
          </cell>
          <cell r="BD7" t="str">
            <v>Ene-Jul</v>
          </cell>
          <cell r="BE7" t="str">
            <v>Ene-Agos</v>
          </cell>
          <cell r="BF7" t="str">
            <v>Ene-Sep</v>
          </cell>
          <cell r="BG7" t="str">
            <v>Ene-Oct</v>
          </cell>
          <cell r="BH7" t="str">
            <v>Ene-Feb</v>
          </cell>
          <cell r="BI7" t="str">
            <v>Ene-Mar</v>
          </cell>
          <cell r="BJ7" t="str">
            <v>Ene-Abr</v>
          </cell>
          <cell r="BK7" t="str">
            <v>Ene-May</v>
          </cell>
          <cell r="BL7" t="str">
            <v>Ene-Jun</v>
          </cell>
          <cell r="BM7" t="str">
            <v>Ene-Jul</v>
          </cell>
          <cell r="BN7" t="str">
            <v>Ene-Agos</v>
          </cell>
          <cell r="BO7" t="str">
            <v>Ene-Sep</v>
          </cell>
          <cell r="BP7" t="str">
            <v>Ene-Oct</v>
          </cell>
          <cell r="BQ7" t="str">
            <v>Ene-Feb</v>
          </cell>
          <cell r="BR7" t="str">
            <v>Ene-Mar</v>
          </cell>
          <cell r="BS7" t="str">
            <v>Ene-Abr</v>
          </cell>
          <cell r="BT7" t="str">
            <v>Ene-May</v>
          </cell>
          <cell r="BU7" t="str">
            <v>Ene-Jun</v>
          </cell>
          <cell r="BV7" t="str">
            <v>Ene-Jul</v>
          </cell>
          <cell r="BW7" t="str">
            <v>Ene-Agos</v>
          </cell>
          <cell r="BX7" t="str">
            <v>Ene-Sep</v>
          </cell>
          <cell r="BY7" t="str">
            <v>Ene-Sep</v>
          </cell>
          <cell r="BZ7">
            <v>35065</v>
          </cell>
          <cell r="CA7">
            <v>35096</v>
          </cell>
          <cell r="CB7">
            <v>35125</v>
          </cell>
          <cell r="CC7" t="str">
            <v>Ene-Mar 97</v>
          </cell>
          <cell r="CD7" t="str">
            <v>Ene-Mar 96</v>
          </cell>
          <cell r="CE7" t="str">
            <v>Acumulados</v>
          </cell>
          <cell r="CF7" t="str">
            <v>%</v>
          </cell>
        </row>
        <row r="8">
          <cell r="L8">
            <v>14557.600269024355</v>
          </cell>
          <cell r="M8">
            <v>8.8000000000000007</v>
          </cell>
          <cell r="N8">
            <v>14566.400269024356</v>
          </cell>
          <cell r="Q8">
            <v>1117.3881319197103</v>
          </cell>
          <cell r="R8">
            <v>1138.0803272712687</v>
          </cell>
          <cell r="S8">
            <v>1179.738892452445</v>
          </cell>
          <cell r="T8">
            <v>1375.639549804662</v>
          </cell>
          <cell r="U8">
            <v>1498.7542982262826</v>
          </cell>
          <cell r="V8">
            <v>1516.3641834780656</v>
          </cell>
          <cell r="W8">
            <v>1291.9710539185546</v>
          </cell>
          <cell r="X8">
            <v>1380.3897833779629</v>
          </cell>
          <cell r="Y8">
            <v>1091.7683148956307</v>
          </cell>
          <cell r="Z8">
            <v>1511.5768379882973</v>
          </cell>
          <cell r="AA8">
            <v>15168.700840557482</v>
          </cell>
          <cell r="AB8">
            <v>13.527372489443918</v>
          </cell>
          <cell r="AC8">
            <v>8.1772322159718545E-3</v>
          </cell>
          <cell r="AD8">
            <v>13.535549721659891</v>
          </cell>
          <cell r="AE8">
            <v>726.33585039237164</v>
          </cell>
          <cell r="AF8">
            <v>1438.1227019431008</v>
          </cell>
          <cell r="AG8">
            <v>1024.6103000000001</v>
          </cell>
          <cell r="AH8">
            <v>1219.2702560502198</v>
          </cell>
          <cell r="AI8">
            <v>1025.0579905407249</v>
          </cell>
          <cell r="AJ8">
            <v>1318.5125198987557</v>
          </cell>
          <cell r="AK8">
            <v>1386.8531636086091</v>
          </cell>
          <cell r="AL8">
            <v>1364.2976459563383</v>
          </cell>
          <cell r="AM8">
            <v>1147.7798913150875</v>
          </cell>
          <cell r="AN8">
            <v>1361.7922812436839</v>
          </cell>
          <cell r="AO8">
            <v>972.18127346093422</v>
          </cell>
          <cell r="AP8">
            <v>16.457900064195314</v>
          </cell>
          <cell r="AQ8">
            <v>-113.88698517506805</v>
          </cell>
          <cell r="AR8">
            <v>92.777831919710252</v>
          </cell>
          <cell r="AS8">
            <v>-81.189928778951071</v>
          </cell>
          <cell r="AT8">
            <v>154.68090191172018</v>
          </cell>
          <cell r="AU8">
            <v>57.127029905906284</v>
          </cell>
          <cell r="AV8">
            <v>111.90113461767351</v>
          </cell>
          <cell r="AW8">
            <v>152.06653752172724</v>
          </cell>
          <cell r="AX8">
            <v>144.19116260346709</v>
          </cell>
          <cell r="AY8">
            <v>2057.1933626519794</v>
          </cell>
          <cell r="AZ8">
            <v>3166.6159067143199</v>
          </cell>
          <cell r="BA8">
            <v>4301.1716418341994</v>
          </cell>
          <cell r="BB8">
            <v>5477.3676340074853</v>
          </cell>
          <cell r="BC8">
            <v>6848.2653596374657</v>
          </cell>
          <cell r="BD8">
            <v>8344.2977585040571</v>
          </cell>
          <cell r="BE8">
            <v>9857.549639359484</v>
          </cell>
          <cell r="BF8">
            <v>11141.102098057449</v>
          </cell>
          <cell r="BG8">
            <v>12521.491881435413</v>
          </cell>
          <cell r="BH8">
            <v>2106.4596832266393</v>
          </cell>
          <cell r="BI8">
            <v>3189.068852335472</v>
          </cell>
          <cell r="BJ8">
            <v>4408.3391083856923</v>
          </cell>
          <cell r="BK8">
            <v>5433.3970989264171</v>
          </cell>
          <cell r="BL8">
            <v>6751.9096188251733</v>
          </cell>
          <cell r="BM8">
            <v>8138.7627824337815</v>
          </cell>
          <cell r="BN8">
            <v>9503.060428390123</v>
          </cell>
          <cell r="BO8">
            <v>10650.840319705208</v>
          </cell>
          <cell r="BP8">
            <v>12012.632600948893</v>
          </cell>
          <cell r="BQ8">
            <v>-49.266320574659574</v>
          </cell>
          <cell r="BR8">
            <v>-22.452945621152274</v>
          </cell>
          <cell r="BS8">
            <v>-107.16746655149332</v>
          </cell>
          <cell r="BT8">
            <v>43.970535081066949</v>
          </cell>
          <cell r="BU8">
            <v>96.355740812292964</v>
          </cell>
          <cell r="BV8">
            <v>205.5349760702762</v>
          </cell>
          <cell r="BW8">
            <v>354.48921096936294</v>
          </cell>
          <cell r="BX8">
            <v>490.26177835223962</v>
          </cell>
          <cell r="BY8">
            <v>508.85928048651846</v>
          </cell>
          <cell r="BZ8">
            <v>618.83898199999999</v>
          </cell>
          <cell r="CA8">
            <v>1132.2671618140002</v>
          </cell>
          <cell r="CB8">
            <v>923.91891799999996</v>
          </cell>
          <cell r="CC8">
            <v>3166.6159067143199</v>
          </cell>
          <cell r="CD8">
            <v>2675.0250618139994</v>
          </cell>
          <cell r="CE8">
            <v>491.59084490032046</v>
          </cell>
          <cell r="CF8">
            <v>18.377055673899399</v>
          </cell>
        </row>
        <row r="9">
          <cell r="L9">
            <v>12496.099613354061</v>
          </cell>
          <cell r="M9">
            <v>0</v>
          </cell>
          <cell r="N9">
            <v>12496.099613354061</v>
          </cell>
          <cell r="Q9">
            <v>918.67541202805012</v>
          </cell>
          <cell r="R9">
            <v>1041.3214851985501</v>
          </cell>
          <cell r="S9">
            <v>1060.4619888837797</v>
          </cell>
          <cell r="T9">
            <v>1183.4589118603099</v>
          </cell>
          <cell r="U9">
            <v>1175.3498713699</v>
          </cell>
          <cell r="V9">
            <v>1300.8273561133799</v>
          </cell>
          <cell r="W9">
            <v>1030.2689678214899</v>
          </cell>
          <cell r="X9">
            <v>1285.1797225266603</v>
          </cell>
          <cell r="Y9">
            <v>916.57072490871997</v>
          </cell>
          <cell r="Z9">
            <v>1367.4223958232521</v>
          </cell>
          <cell r="AA9">
            <v>13075.612779912501</v>
          </cell>
          <cell r="AB9">
            <v>11.611762310490029</v>
          </cell>
          <cell r="AC9" t="str">
            <v/>
          </cell>
          <cell r="AD9">
            <v>11.611762310490029</v>
          </cell>
          <cell r="AE9">
            <v>653.77829999999994</v>
          </cell>
          <cell r="AF9">
            <v>1354.6194</v>
          </cell>
          <cell r="AG9">
            <v>786.88030000000003</v>
          </cell>
          <cell r="AH9">
            <v>1121.4405222222222</v>
          </cell>
          <cell r="AI9">
            <v>935.23733791019799</v>
          </cell>
          <cell r="AJ9">
            <v>1193.5068379101976</v>
          </cell>
          <cell r="AK9">
            <v>1019.9875954975064</v>
          </cell>
          <cell r="AL9">
            <v>1247.3770828528786</v>
          </cell>
          <cell r="AM9">
            <v>891.50348140793017</v>
          </cell>
          <cell r="AN9">
            <v>1227.5820335033711</v>
          </cell>
          <cell r="AO9">
            <v>803.26734573661599</v>
          </cell>
          <cell r="AP9">
            <v>-76.766353117949734</v>
          </cell>
          <cell r="AQ9">
            <v>-135.55540350364004</v>
          </cell>
          <cell r="AR9">
            <v>131.79511202805008</v>
          </cell>
          <cell r="AS9">
            <v>-80.119037023672036</v>
          </cell>
          <cell r="AT9">
            <v>125.22465097358167</v>
          </cell>
          <cell r="AU9">
            <v>-10.047926049887792</v>
          </cell>
          <cell r="AV9">
            <v>155.36227587239364</v>
          </cell>
          <cell r="AW9">
            <v>53.450273260501262</v>
          </cell>
          <cell r="AX9">
            <v>138.76548641355976</v>
          </cell>
          <cell r="AY9">
            <v>1796.0759433784101</v>
          </cell>
          <cell r="AZ9">
            <v>2714.7513554064599</v>
          </cell>
          <cell r="BA9">
            <v>3756.0728406050107</v>
          </cell>
          <cell r="BB9">
            <v>4816.5348294887908</v>
          </cell>
          <cell r="BC9">
            <v>5999.9937413490998</v>
          </cell>
          <cell r="BD9">
            <v>7175.343612718998</v>
          </cell>
          <cell r="BE9">
            <v>8476.1709688323808</v>
          </cell>
          <cell r="BF9">
            <v>9506.4399366538692</v>
          </cell>
          <cell r="BG9">
            <v>10791.619659180531</v>
          </cell>
          <cell r="BH9">
            <v>2008.3977000000002</v>
          </cell>
          <cell r="BI9">
            <v>2795.2779999999998</v>
          </cell>
          <cell r="BJ9">
            <v>3916.7185222222224</v>
          </cell>
          <cell r="BK9">
            <v>4851.9558601324197</v>
          </cell>
          <cell r="BL9">
            <v>6045.4626980426183</v>
          </cell>
          <cell r="BM9">
            <v>7065.4502935401242</v>
          </cell>
          <cell r="BN9">
            <v>8312.8273763930047</v>
          </cell>
          <cell r="BO9">
            <v>9204.3308578009328</v>
          </cell>
          <cell r="BP9">
            <v>10431.912891304304</v>
          </cell>
          <cell r="BQ9">
            <v>-212.32175662158994</v>
          </cell>
          <cell r="BR9">
            <v>-80.526644593539771</v>
          </cell>
          <cell r="BS9">
            <v>-160.64568161721201</v>
          </cell>
          <cell r="BT9">
            <v>-35.421030643630175</v>
          </cell>
          <cell r="BU9">
            <v>-45.468956693518294</v>
          </cell>
          <cell r="BV9">
            <v>109.89331917887534</v>
          </cell>
          <cell r="BW9">
            <v>163.34359243937618</v>
          </cell>
          <cell r="BX9">
            <v>302.10907885293568</v>
          </cell>
          <cell r="BY9">
            <v>359.70676787622489</v>
          </cell>
          <cell r="BZ9">
            <v>506.79</v>
          </cell>
          <cell r="CA9">
            <v>1047.8119000000002</v>
          </cell>
          <cell r="CB9">
            <v>643.25349999999992</v>
          </cell>
          <cell r="CC9">
            <v>2714.7513554064599</v>
          </cell>
          <cell r="CD9">
            <v>2197.8553999999995</v>
          </cell>
          <cell r="CE9">
            <v>516.89595540646042</v>
          </cell>
          <cell r="CF9">
            <v>23.518196666007253</v>
          </cell>
        </row>
        <row r="10">
          <cell r="Q10">
            <v>612.18613506100019</v>
          </cell>
          <cell r="R10">
            <v>752.90155518899996</v>
          </cell>
          <cell r="S10">
            <v>709.49727737799981</v>
          </cell>
          <cell r="T10">
            <v>851.27870428699998</v>
          </cell>
          <cell r="U10">
            <v>803.17442898100001</v>
          </cell>
          <cell r="V10">
            <v>972.70713087999991</v>
          </cell>
          <cell r="W10">
            <v>690.39096822800002</v>
          </cell>
          <cell r="X10">
            <v>919.5669539930002</v>
          </cell>
          <cell r="Y10">
            <v>560.75002455699996</v>
          </cell>
          <cell r="Z10">
            <v>976.01564914280027</v>
          </cell>
          <cell r="AA10">
            <v>9152.5181370445007</v>
          </cell>
          <cell r="AB10">
            <v>8.0643945886236565</v>
          </cell>
          <cell r="AC10" t="e">
            <v>#VALUE!</v>
          </cell>
          <cell r="AD10">
            <v>8.0643945886236565</v>
          </cell>
          <cell r="AE10">
            <v>372.33579999999995</v>
          </cell>
          <cell r="AF10">
            <v>1072.5493999999999</v>
          </cell>
          <cell r="AG10">
            <v>494.41030000000001</v>
          </cell>
          <cell r="AH10">
            <v>798.19579999999996</v>
          </cell>
          <cell r="AI10">
            <v>600.26139999999998</v>
          </cell>
          <cell r="AJ10">
            <v>857.12189999999987</v>
          </cell>
          <cell r="AK10">
            <v>668.19430000000011</v>
          </cell>
          <cell r="AL10">
            <v>897.23910000000001</v>
          </cell>
          <cell r="AM10">
            <v>538.25220000000002</v>
          </cell>
          <cell r="AN10">
            <v>873.67699999999991</v>
          </cell>
          <cell r="AO10">
            <v>452.3449</v>
          </cell>
          <cell r="AP10">
            <v>-28.368856882299951</v>
          </cell>
          <cell r="AQ10">
            <v>-112.46703376999994</v>
          </cell>
          <cell r="AR10">
            <v>117.77583506100018</v>
          </cell>
          <cell r="AS10">
            <v>-45.294244810999999</v>
          </cell>
          <cell r="AT10">
            <v>109.23587737799983</v>
          </cell>
          <cell r="AU10">
            <v>-5.8431957129998864</v>
          </cell>
          <cell r="AV10">
            <v>134.98012898099989</v>
          </cell>
          <cell r="AW10">
            <v>75.468030879999901</v>
          </cell>
          <cell r="AX10">
            <v>152.138768228</v>
          </cell>
          <cell r="AY10">
            <v>1304.0493093476998</v>
          </cell>
          <cell r="AZ10">
            <v>1916.2354444087</v>
          </cell>
          <cell r="BA10">
            <v>2669.1369995977002</v>
          </cell>
          <cell r="BB10">
            <v>3378.6342769757002</v>
          </cell>
          <cell r="BC10">
            <v>4229.9129812626998</v>
          </cell>
          <cell r="BD10">
            <v>5033.0874102436992</v>
          </cell>
          <cell r="BE10">
            <v>6005.7945411236997</v>
          </cell>
          <cell r="BF10">
            <v>6696.1855093516988</v>
          </cell>
          <cell r="BG10">
            <v>7615.7524633446992</v>
          </cell>
          <cell r="BH10">
            <v>1444.8851999999999</v>
          </cell>
          <cell r="BI10">
            <v>1939.2954999999999</v>
          </cell>
          <cell r="BJ10">
            <v>2737.4913000000001</v>
          </cell>
          <cell r="BK10">
            <v>3337.7527</v>
          </cell>
          <cell r="BL10">
            <v>4194.8746000000001</v>
          </cell>
          <cell r="BM10">
            <v>4863.0689000000002</v>
          </cell>
          <cell r="BN10">
            <v>5760.3080000000009</v>
          </cell>
          <cell r="BO10">
            <v>6298.5601999999999</v>
          </cell>
          <cell r="BP10">
            <v>7172.2372000000005</v>
          </cell>
          <cell r="BQ10">
            <v>-140.83589065230001</v>
          </cell>
          <cell r="BR10">
            <v>-23.060055591299829</v>
          </cell>
          <cell r="BS10">
            <v>-68.354300402299941</v>
          </cell>
          <cell r="BT10">
            <v>40.881576975699772</v>
          </cell>
          <cell r="BU10">
            <v>35.038381262699659</v>
          </cell>
          <cell r="BV10">
            <v>170.01851024369944</v>
          </cell>
          <cell r="BW10">
            <v>245.48654112369877</v>
          </cell>
          <cell r="BX10">
            <v>397.62530935169843</v>
          </cell>
          <cell r="BY10">
            <v>443.51526334469872</v>
          </cell>
        </row>
        <row r="11">
          <cell r="F11" t="str">
            <v xml:space="preserve">  Renta </v>
          </cell>
          <cell r="L11">
            <v>4723.1066000000001</v>
          </cell>
          <cell r="N11">
            <v>4723.1066000000001</v>
          </cell>
          <cell r="O11">
            <v>243.55664311769996</v>
          </cell>
          <cell r="P11">
            <v>368.38189932499995</v>
          </cell>
          <cell r="Q11">
            <v>547.25089320100017</v>
          </cell>
          <cell r="R11">
            <v>273.53488764100001</v>
          </cell>
          <cell r="S11">
            <v>633.26266243399982</v>
          </cell>
          <cell r="T11">
            <v>407.06395279499992</v>
          </cell>
          <cell r="U11">
            <v>716.37736025599997</v>
          </cell>
          <cell r="V11">
            <v>457.37705655100001</v>
          </cell>
          <cell r="W11">
            <v>587.30996725600005</v>
          </cell>
          <cell r="X11">
            <v>336.76889635800006</v>
          </cell>
          <cell r="Y11">
            <v>371.95657846081235</v>
          </cell>
          <cell r="Z11">
            <v>121.77492272243373</v>
          </cell>
          <cell r="AA11">
            <v>5064.6157201179458</v>
          </cell>
          <cell r="AB11">
            <v>4.3888567555669642</v>
          </cell>
          <cell r="AC11" t="str">
            <v/>
          </cell>
          <cell r="AD11">
            <v>4.3888567555669642</v>
          </cell>
          <cell r="AE11">
            <v>300.03099999999995</v>
          </cell>
          <cell r="AF11">
            <v>412.96669999999995</v>
          </cell>
          <cell r="AG11">
            <v>411.47919999999999</v>
          </cell>
          <cell r="AH11">
            <v>256.96799999999996</v>
          </cell>
          <cell r="AI11">
            <v>517.72820000000002</v>
          </cell>
          <cell r="AJ11">
            <v>367.72089999999997</v>
          </cell>
          <cell r="AK11">
            <v>564.85660000000007</v>
          </cell>
          <cell r="AL11">
            <v>375.6336</v>
          </cell>
          <cell r="AM11">
            <v>444.8304</v>
          </cell>
          <cell r="AN11">
            <v>283.6225</v>
          </cell>
          <cell r="AO11">
            <v>353.4796</v>
          </cell>
          <cell r="AP11">
            <v>-56.474356882299986</v>
          </cell>
          <cell r="AQ11">
            <v>-44.584800674999997</v>
          </cell>
          <cell r="AR11">
            <v>135.77169320100018</v>
          </cell>
          <cell r="AS11">
            <v>16.566887641000051</v>
          </cell>
          <cell r="AT11">
            <v>115.53446243399981</v>
          </cell>
          <cell r="AU11">
            <v>39.343052794999949</v>
          </cell>
          <cell r="AV11">
            <v>151.5207602559999</v>
          </cell>
          <cell r="AW11">
            <v>81.743456551000008</v>
          </cell>
          <cell r="AX11">
            <v>142.47956725600005</v>
          </cell>
          <cell r="AY11">
            <v>611.93854244269994</v>
          </cell>
          <cell r="AZ11">
            <v>1159.1894356437001</v>
          </cell>
          <cell r="BA11">
            <v>1432.7243232847002</v>
          </cell>
          <cell r="BB11">
            <v>2065.9869857187</v>
          </cell>
          <cell r="BC11">
            <v>2473.0509385136997</v>
          </cell>
          <cell r="BD11">
            <v>3189.4282987696997</v>
          </cell>
          <cell r="BE11">
            <v>3646.8053553206996</v>
          </cell>
          <cell r="BF11">
            <v>4234.1153225766993</v>
          </cell>
          <cell r="BG11">
            <v>4570.8842189346997</v>
          </cell>
          <cell r="BH11">
            <v>712.9976999999999</v>
          </cell>
          <cell r="BI11">
            <v>1124.4768999999999</v>
          </cell>
          <cell r="BJ11">
            <v>1381.4449</v>
          </cell>
          <cell r="BK11">
            <v>1899.1731</v>
          </cell>
          <cell r="BL11">
            <v>2266.8939999999998</v>
          </cell>
          <cell r="BM11">
            <v>2831.7505999999998</v>
          </cell>
          <cell r="BN11">
            <v>3207.3842</v>
          </cell>
          <cell r="BO11">
            <v>3652.2145999999998</v>
          </cell>
          <cell r="BP11">
            <v>3935.8370999999997</v>
          </cell>
          <cell r="BQ11">
            <v>-101.05915755729995</v>
          </cell>
          <cell r="BR11">
            <v>34.712535643700221</v>
          </cell>
          <cell r="BS11">
            <v>51.279423284700215</v>
          </cell>
          <cell r="BT11">
            <v>166.81388571870002</v>
          </cell>
          <cell r="BU11">
            <v>206.15693851369997</v>
          </cell>
          <cell r="BV11">
            <v>357.67769876969987</v>
          </cell>
          <cell r="BW11">
            <v>439.42115532069965</v>
          </cell>
          <cell r="BX11">
            <v>581.90072257669954</v>
          </cell>
          <cell r="BY11">
            <v>635.04711893469994</v>
          </cell>
          <cell r="BZ11">
            <v>234.09999999999997</v>
          </cell>
          <cell r="CA11">
            <v>321.39999999999998</v>
          </cell>
          <cell r="CB11">
            <v>335.89999999999992</v>
          </cell>
          <cell r="CC11">
            <v>1159.1894356437001</v>
          </cell>
          <cell r="CD11">
            <v>891.39999999999986</v>
          </cell>
          <cell r="CE11">
            <v>267.78943564370024</v>
          </cell>
          <cell r="CF11">
            <v>30.041444429403221</v>
          </cell>
        </row>
        <row r="12">
          <cell r="F12" t="str">
            <v xml:space="preserve">  Ventas Internas</v>
          </cell>
          <cell r="L12">
            <v>3955.4621999999999</v>
          </cell>
          <cell r="N12">
            <v>3955.4621999999999</v>
          </cell>
          <cell r="O12">
            <v>100.41030000000001</v>
          </cell>
          <cell r="P12">
            <v>591.70046690499998</v>
          </cell>
          <cell r="Q12">
            <v>64.935241859999991</v>
          </cell>
          <cell r="R12">
            <v>479.36666754800001</v>
          </cell>
          <cell r="S12">
            <v>76.234614944000015</v>
          </cell>
          <cell r="T12">
            <v>444.214751492</v>
          </cell>
          <cell r="U12">
            <v>86.797068725000017</v>
          </cell>
          <cell r="V12">
            <v>515.3300743289999</v>
          </cell>
          <cell r="W12">
            <v>103.08100097199998</v>
          </cell>
          <cell r="X12">
            <v>582.79805763500019</v>
          </cell>
          <cell r="Y12">
            <v>188.79344609618767</v>
          </cell>
          <cell r="Z12">
            <v>854.24072642036651</v>
          </cell>
          <cell r="AA12">
            <v>4087.902416926554</v>
          </cell>
          <cell r="AB12">
            <v>3.6755378330566932</v>
          </cell>
          <cell r="AC12" t="str">
            <v/>
          </cell>
          <cell r="AD12">
            <v>3.6755378330566932</v>
          </cell>
          <cell r="AE12">
            <v>72.3048</v>
          </cell>
          <cell r="AF12">
            <v>659.58270000000005</v>
          </cell>
          <cell r="AG12">
            <v>82.931100000000001</v>
          </cell>
          <cell r="AH12">
            <v>541.2278</v>
          </cell>
          <cell r="AI12">
            <v>82.533199999999994</v>
          </cell>
          <cell r="AJ12">
            <v>489.40099999999995</v>
          </cell>
          <cell r="AK12">
            <v>103.3377</v>
          </cell>
          <cell r="AL12">
            <v>521.60550000000001</v>
          </cell>
          <cell r="AM12">
            <v>93.421800000000005</v>
          </cell>
          <cell r="AN12">
            <v>590.05449999999996</v>
          </cell>
          <cell r="AO12">
            <v>98.865300000000005</v>
          </cell>
          <cell r="AP12">
            <v>28.105500000000006</v>
          </cell>
          <cell r="AQ12">
            <v>-67.882233095000061</v>
          </cell>
          <cell r="AR12">
            <v>-17.99585814000001</v>
          </cell>
          <cell r="AS12">
            <v>-61.861132451999993</v>
          </cell>
          <cell r="AT12">
            <v>-6.298585055999979</v>
          </cell>
          <cell r="AU12">
            <v>-45.186248507999949</v>
          </cell>
          <cell r="AV12">
            <v>-16.540631274999981</v>
          </cell>
          <cell r="AW12">
            <v>-6.2754256710001073</v>
          </cell>
          <cell r="AX12">
            <v>9.6592009719999794</v>
          </cell>
          <cell r="AY12">
            <v>692.11076690499999</v>
          </cell>
          <cell r="AZ12">
            <v>757.04600876500001</v>
          </cell>
          <cell r="BA12">
            <v>1236.412676313</v>
          </cell>
          <cell r="BB12">
            <v>1312.647291257</v>
          </cell>
          <cell r="BC12">
            <v>1756.862042749</v>
          </cell>
          <cell r="BD12">
            <v>1843.6591114739999</v>
          </cell>
          <cell r="BE12">
            <v>2358.9891858029996</v>
          </cell>
          <cell r="BF12">
            <v>2462.0701867749995</v>
          </cell>
          <cell r="BG12">
            <v>3044.8682444099995</v>
          </cell>
          <cell r="BH12">
            <v>731.88750000000005</v>
          </cell>
          <cell r="BI12">
            <v>814.81860000000006</v>
          </cell>
          <cell r="BJ12">
            <v>1356.0464000000002</v>
          </cell>
          <cell r="BK12">
            <v>1438.5796000000003</v>
          </cell>
          <cell r="BL12">
            <v>1927.9806000000003</v>
          </cell>
          <cell r="BM12">
            <v>2031.3183000000004</v>
          </cell>
          <cell r="BN12">
            <v>2552.9238000000005</v>
          </cell>
          <cell r="BO12">
            <v>2646.3456000000006</v>
          </cell>
          <cell r="BP12">
            <v>3236.4001000000007</v>
          </cell>
          <cell r="BQ12">
            <v>-39.776733095000054</v>
          </cell>
          <cell r="BR12">
            <v>-57.77259123500005</v>
          </cell>
          <cell r="BS12">
            <v>-119.63372368700016</v>
          </cell>
          <cell r="BT12">
            <v>-125.93230874300025</v>
          </cell>
          <cell r="BU12">
            <v>-171.11855725100031</v>
          </cell>
          <cell r="BV12">
            <v>-187.65918852600043</v>
          </cell>
          <cell r="BW12">
            <v>-193.93461419700088</v>
          </cell>
          <cell r="BX12">
            <v>-184.2754132250011</v>
          </cell>
          <cell r="BY12">
            <v>-191.53185559000121</v>
          </cell>
          <cell r="BZ12">
            <v>18.399999999999999</v>
          </cell>
          <cell r="CA12">
            <v>475.8</v>
          </cell>
          <cell r="CB12">
            <v>68.699999999999989</v>
          </cell>
          <cell r="CC12">
            <v>757.04600876500001</v>
          </cell>
          <cell r="CD12">
            <v>562.9</v>
          </cell>
          <cell r="CE12">
            <v>194.14600876500003</v>
          </cell>
          <cell r="CF12">
            <v>34.490319553206604</v>
          </cell>
        </row>
        <row r="13">
          <cell r="L13">
            <v>1083.5878093612414</v>
          </cell>
          <cell r="N13">
            <v>1083.5878093612414</v>
          </cell>
          <cell r="Q13">
            <v>87.581100000000021</v>
          </cell>
          <cell r="R13">
            <v>75.481886342485012</v>
          </cell>
          <cell r="S13">
            <v>100.79985627792065</v>
          </cell>
          <cell r="T13">
            <v>96.822372804126232</v>
          </cell>
          <cell r="U13">
            <v>119.95336933611877</v>
          </cell>
          <cell r="V13">
            <v>106.80132008960814</v>
          </cell>
          <cell r="W13">
            <v>121.30396975051718</v>
          </cell>
          <cell r="X13">
            <v>123.15117546677656</v>
          </cell>
          <cell r="Y13">
            <v>120.73640728030996</v>
          </cell>
          <cell r="Z13">
            <v>131.96731670782302</v>
          </cell>
          <cell r="AA13">
            <v>1221.3033438096857</v>
          </cell>
          <cell r="AB13">
            <v>1.0069033117662627</v>
          </cell>
          <cell r="AC13" t="str">
            <v/>
          </cell>
          <cell r="AD13">
            <v>1.0069033117662627</v>
          </cell>
          <cell r="AE13">
            <v>79.530992176990523</v>
          </cell>
          <cell r="AF13">
            <v>79.5</v>
          </cell>
          <cell r="AG13">
            <v>79.5</v>
          </cell>
          <cell r="AH13">
            <v>86.8</v>
          </cell>
          <cell r="AI13">
            <v>90.4</v>
          </cell>
          <cell r="AJ13">
            <v>90.4</v>
          </cell>
          <cell r="AK13">
            <v>96.6</v>
          </cell>
          <cell r="AL13">
            <v>96.7</v>
          </cell>
          <cell r="AM13">
            <v>96.7</v>
          </cell>
          <cell r="AN13">
            <v>96.7</v>
          </cell>
          <cell r="AO13">
            <v>96.7</v>
          </cell>
          <cell r="AP13">
            <v>-17.211794713990507</v>
          </cell>
          <cell r="AQ13">
            <v>-5.1146277089999614</v>
          </cell>
          <cell r="AR13">
            <v>8.0811000000000206</v>
          </cell>
          <cell r="AS13">
            <v>-11.318113657514985</v>
          </cell>
          <cell r="AT13">
            <v>10.399856277920648</v>
          </cell>
          <cell r="AU13">
            <v>6.4223728041262262</v>
          </cell>
          <cell r="AV13">
            <v>23.353369336118774</v>
          </cell>
          <cell r="AW13">
            <v>10.101320089608137</v>
          </cell>
          <cell r="AX13">
            <v>24.60396975051718</v>
          </cell>
          <cell r="AY13">
            <v>136.70456975400006</v>
          </cell>
          <cell r="AZ13">
            <v>224.28566975400008</v>
          </cell>
          <cell r="BA13">
            <v>299.76755609648512</v>
          </cell>
          <cell r="BB13">
            <v>400.56741237440576</v>
          </cell>
          <cell r="BC13">
            <v>497.38978517853201</v>
          </cell>
          <cell r="BD13">
            <v>617.34315451465079</v>
          </cell>
          <cell r="BE13">
            <v>724.1444746042589</v>
          </cell>
          <cell r="BF13">
            <v>845.44844435477603</v>
          </cell>
          <cell r="BG13">
            <v>968.59961982155255</v>
          </cell>
          <cell r="BH13">
            <v>159.03099217699054</v>
          </cell>
          <cell r="BI13">
            <v>238.53099217699054</v>
          </cell>
          <cell r="BJ13">
            <v>325.33099217699055</v>
          </cell>
          <cell r="BK13">
            <v>415.73099217699053</v>
          </cell>
          <cell r="BL13">
            <v>506.1309921769905</v>
          </cell>
          <cell r="BM13">
            <v>602.73099217699053</v>
          </cell>
          <cell r="BN13">
            <v>699.43099217699057</v>
          </cell>
          <cell r="BO13">
            <v>796.13099217699062</v>
          </cell>
          <cell r="BP13">
            <v>892.83099217699066</v>
          </cell>
          <cell r="BQ13">
            <v>-22.326422422990476</v>
          </cell>
          <cell r="BR13">
            <v>-14.245322422990455</v>
          </cell>
          <cell r="BS13">
            <v>-25.563436080505426</v>
          </cell>
          <cell r="BT13">
            <v>-15.163579802584763</v>
          </cell>
          <cell r="BU13">
            <v>-8.7412069984584946</v>
          </cell>
          <cell r="BV13">
            <v>14.612162337660266</v>
          </cell>
          <cell r="BW13">
            <v>24.713482427268332</v>
          </cell>
          <cell r="BX13">
            <v>49.317452177785412</v>
          </cell>
          <cell r="BY13">
            <v>75.768627644561889</v>
          </cell>
          <cell r="BZ13">
            <v>80.599999999999994</v>
          </cell>
          <cell r="CA13">
            <v>71.549000000000007</v>
          </cell>
          <cell r="CB13">
            <v>69.2</v>
          </cell>
          <cell r="CC13">
            <v>224.28566975400008</v>
          </cell>
          <cell r="CD13">
            <v>221.34899999999999</v>
          </cell>
          <cell r="CE13">
            <v>2.9366697540000928</v>
          </cell>
          <cell r="CF13">
            <v>1.3267147147717484</v>
          </cell>
        </row>
        <row r="14">
          <cell r="L14">
            <v>1889.9795039928199</v>
          </cell>
          <cell r="N14">
            <v>1889.9795039928199</v>
          </cell>
          <cell r="Q14">
            <v>142.834725642</v>
          </cell>
          <cell r="R14">
            <v>133.22379018051501</v>
          </cell>
          <cell r="S14">
            <v>177.96080820747937</v>
          </cell>
          <cell r="T14">
            <v>166.10573600583371</v>
          </cell>
          <cell r="U14">
            <v>189.71520713288123</v>
          </cell>
          <cell r="V14">
            <v>168.94491869539186</v>
          </cell>
          <cell r="W14">
            <v>177.70895279163273</v>
          </cell>
          <cell r="X14">
            <v>194.80812886039345</v>
          </cell>
          <cell r="Y14">
            <v>187.32168090269005</v>
          </cell>
          <cell r="Z14">
            <v>208.75756498844049</v>
          </cell>
          <cell r="AA14">
            <v>1975.8815134072579</v>
          </cell>
          <cell r="AB14">
            <v>1.7562274190427944</v>
          </cell>
          <cell r="AC14" t="str">
            <v/>
          </cell>
          <cell r="AD14">
            <v>1.7562274190427944</v>
          </cell>
          <cell r="AE14">
            <v>140.46900782300949</v>
          </cell>
          <cell r="AF14">
            <v>140.5</v>
          </cell>
          <cell r="AG14">
            <v>140.5</v>
          </cell>
          <cell r="AH14">
            <v>153.19999999999999</v>
          </cell>
          <cell r="AI14">
            <v>159.6</v>
          </cell>
          <cell r="AJ14">
            <v>159.6</v>
          </cell>
          <cell r="AK14">
            <v>170.6</v>
          </cell>
          <cell r="AL14">
            <v>170.8</v>
          </cell>
          <cell r="AM14">
            <v>170.8</v>
          </cell>
          <cell r="AN14">
            <v>170.8</v>
          </cell>
          <cell r="AO14">
            <v>170.8</v>
          </cell>
          <cell r="AP14">
            <v>-27.369007823009511</v>
          </cell>
          <cell r="AQ14">
            <v>-25.100000000000065</v>
          </cell>
          <cell r="AR14">
            <v>2.3347256419999951</v>
          </cell>
          <cell r="AS14">
            <v>-19.976209819484978</v>
          </cell>
          <cell r="AT14">
            <v>18.36080820747938</v>
          </cell>
          <cell r="AU14">
            <v>6.505736005833711</v>
          </cell>
          <cell r="AV14">
            <v>19.115207132881238</v>
          </cell>
          <cell r="AW14">
            <v>-1.8550813046081487</v>
          </cell>
          <cell r="AX14">
            <v>6.9089527916327143</v>
          </cell>
          <cell r="AY14">
            <v>228.49999999999991</v>
          </cell>
          <cell r="AZ14">
            <v>371.33472564199991</v>
          </cell>
          <cell r="BA14">
            <v>504.55851582251489</v>
          </cell>
          <cell r="BB14">
            <v>682.51932402999432</v>
          </cell>
          <cell r="BC14">
            <v>848.62506003582803</v>
          </cell>
          <cell r="BD14">
            <v>1038.3402671687093</v>
          </cell>
          <cell r="BE14">
            <v>1207.2851858641011</v>
          </cell>
          <cell r="BF14">
            <v>1384.9941386557339</v>
          </cell>
          <cell r="BG14">
            <v>1579.8022675161274</v>
          </cell>
          <cell r="BH14">
            <v>280.96900782300952</v>
          </cell>
          <cell r="BI14">
            <v>421.46900782300952</v>
          </cell>
          <cell r="BJ14">
            <v>574.66900782300945</v>
          </cell>
          <cell r="BK14">
            <v>734.26900782300947</v>
          </cell>
          <cell r="BL14">
            <v>893.8690078230095</v>
          </cell>
          <cell r="BM14">
            <v>1064.4690078230094</v>
          </cell>
          <cell r="BN14">
            <v>1235.2690078230094</v>
          </cell>
          <cell r="BO14">
            <v>1406.0690078230093</v>
          </cell>
          <cell r="BP14">
            <v>1576.8690078230093</v>
          </cell>
          <cell r="BQ14">
            <v>-52.469007823009605</v>
          </cell>
          <cell r="BR14">
            <v>-50.13428218100961</v>
          </cell>
          <cell r="BS14">
            <v>-70.11049200049456</v>
          </cell>
          <cell r="BT14">
            <v>-51.749683793015151</v>
          </cell>
          <cell r="BU14">
            <v>-45.243947787181469</v>
          </cell>
          <cell r="BV14">
            <v>-26.128740654300145</v>
          </cell>
          <cell r="BW14">
            <v>-27.983821958908266</v>
          </cell>
          <cell r="BX14">
            <v>-21.074869167275438</v>
          </cell>
          <cell r="BY14">
            <v>2.9332596931180888</v>
          </cell>
          <cell r="BZ14">
            <v>124.9</v>
          </cell>
          <cell r="CA14">
            <v>127.649</v>
          </cell>
          <cell r="CB14">
            <v>125.8</v>
          </cell>
          <cell r="CC14">
            <v>371.33472564199991</v>
          </cell>
          <cell r="CD14">
            <v>378.34899999999999</v>
          </cell>
          <cell r="CE14">
            <v>-7.0142743580000797</v>
          </cell>
          <cell r="CF14">
            <v>-1.8539164522702767</v>
          </cell>
        </row>
        <row r="15">
          <cell r="L15">
            <v>790.43349999999998</v>
          </cell>
          <cell r="N15">
            <v>790.43349999999998</v>
          </cell>
          <cell r="Q15">
            <v>48.755678719580004</v>
          </cell>
          <cell r="R15">
            <v>61.927547688800004</v>
          </cell>
          <cell r="S15">
            <v>56.177978153059996</v>
          </cell>
          <cell r="T15">
            <v>65.378911245259999</v>
          </cell>
          <cell r="U15">
            <v>60.214436816019997</v>
          </cell>
          <cell r="V15">
            <v>49.163226856559994</v>
          </cell>
          <cell r="W15">
            <v>38.87063087264</v>
          </cell>
          <cell r="X15">
            <v>45.708496023000002</v>
          </cell>
          <cell r="Y15">
            <v>45.870645472</v>
          </cell>
          <cell r="Z15">
            <v>50.682198984188432</v>
          </cell>
          <cell r="AA15">
            <v>634.42619069857847</v>
          </cell>
          <cell r="AB15">
            <v>0.73449525917993053</v>
          </cell>
          <cell r="AC15" t="str">
            <v/>
          </cell>
          <cell r="AD15">
            <v>0.73449525917993053</v>
          </cell>
          <cell r="AE15">
            <v>60.442500000000003</v>
          </cell>
          <cell r="AF15">
            <v>60.4</v>
          </cell>
          <cell r="AG15">
            <v>60.4</v>
          </cell>
          <cell r="AH15">
            <v>67.674722222222201</v>
          </cell>
          <cell r="AI15">
            <v>68.014937910197958</v>
          </cell>
          <cell r="AJ15">
            <v>68.014937910197958</v>
          </cell>
          <cell r="AK15">
            <v>67.71493791019796</v>
          </cell>
          <cell r="AL15">
            <v>67.989937910197952</v>
          </cell>
          <cell r="AM15">
            <v>67.989937910197952</v>
          </cell>
          <cell r="AN15">
            <v>67.989937910197952</v>
          </cell>
          <cell r="AO15">
            <v>67.989937910197952</v>
          </cell>
          <cell r="AP15">
            <v>-4.2526461975098897</v>
          </cell>
          <cell r="AQ15">
            <v>-4.913413935020003</v>
          </cell>
          <cell r="AR15">
            <v>-11.644321280419994</v>
          </cell>
          <cell r="AS15">
            <v>-5.7471745334221964</v>
          </cell>
          <cell r="AT15">
            <v>-11.836959757137961</v>
          </cell>
          <cell r="AU15">
            <v>-2.6360266649379582</v>
          </cell>
          <cell r="AV15">
            <v>-7.5005010941779631</v>
          </cell>
          <cell r="AW15">
            <v>-18.826711053637958</v>
          </cell>
          <cell r="AX15">
            <v>-29.119307037557952</v>
          </cell>
          <cell r="AY15">
            <v>111.67643986747011</v>
          </cell>
          <cell r="AZ15">
            <v>160.43211858705013</v>
          </cell>
          <cell r="BA15">
            <v>222.35966627585015</v>
          </cell>
          <cell r="BB15">
            <v>278.53764442891014</v>
          </cell>
          <cell r="BC15">
            <v>343.91655567417013</v>
          </cell>
          <cell r="BD15">
            <v>404.13099249019012</v>
          </cell>
          <cell r="BE15">
            <v>453.29421934675014</v>
          </cell>
          <cell r="BF15">
            <v>492.16485021939013</v>
          </cell>
          <cell r="BG15">
            <v>537.87334624239008</v>
          </cell>
          <cell r="BH15">
            <v>120.8425</v>
          </cell>
          <cell r="BI15">
            <v>181.24250000000001</v>
          </cell>
          <cell r="BJ15">
            <v>248.91722222222222</v>
          </cell>
          <cell r="BK15">
            <v>316.93216013242017</v>
          </cell>
          <cell r="BL15">
            <v>384.94709804261811</v>
          </cell>
          <cell r="BM15">
            <v>452.66203595281604</v>
          </cell>
          <cell r="BN15">
            <v>520.65197386301395</v>
          </cell>
          <cell r="BO15">
            <v>588.64191177321186</v>
          </cell>
          <cell r="BP15">
            <v>656.63184968340977</v>
          </cell>
          <cell r="BQ15">
            <v>-9.1660601325298927</v>
          </cell>
          <cell r="BR15">
            <v>-20.81038141294988</v>
          </cell>
          <cell r="BS15">
            <v>-26.557555946372077</v>
          </cell>
          <cell r="BT15">
            <v>-38.394515703510024</v>
          </cell>
          <cell r="BU15">
            <v>-41.030542368447982</v>
          </cell>
          <cell r="BV15">
            <v>-48.531043462625917</v>
          </cell>
          <cell r="BW15">
            <v>-67.35775451626381</v>
          </cell>
          <cell r="BX15">
            <v>-96.477061553821727</v>
          </cell>
          <cell r="BY15">
            <v>-118.75850344101968</v>
          </cell>
          <cell r="BZ15">
            <v>47.09</v>
          </cell>
          <cell r="CA15">
            <v>49.25</v>
          </cell>
          <cell r="CB15">
            <v>42.348999999999997</v>
          </cell>
          <cell r="CC15">
            <v>160.43211858705013</v>
          </cell>
          <cell r="CD15">
            <v>138.68899999999999</v>
          </cell>
          <cell r="CE15">
            <v>21.743118587050134</v>
          </cell>
          <cell r="CF15">
            <v>15.677608596968851</v>
          </cell>
        </row>
        <row r="16">
          <cell r="L16">
            <v>17.53</v>
          </cell>
          <cell r="N16">
            <v>17.53</v>
          </cell>
          <cell r="Q16">
            <v>1.0177726054700003</v>
          </cell>
          <cell r="R16">
            <v>1.2982629337499993</v>
          </cell>
          <cell r="S16">
            <v>1.6454882013199992</v>
          </cell>
          <cell r="T16">
            <v>1.2337663840899999</v>
          </cell>
          <cell r="U16">
            <v>1.6918586908800002</v>
          </cell>
          <cell r="V16">
            <v>2.1747027288200016</v>
          </cell>
          <cell r="W16">
            <v>1.6216783936999981</v>
          </cell>
          <cell r="X16">
            <v>1.5270022994900003</v>
          </cell>
          <cell r="Y16">
            <v>1.519413526719994</v>
          </cell>
          <cell r="Z16">
            <v>-3.3399999999872421E-4</v>
          </cell>
          <cell r="AA16">
            <v>17.118780173479994</v>
          </cell>
          <cell r="AB16">
            <v>1.6289418266589386E-2</v>
          </cell>
          <cell r="AC16" t="str">
            <v/>
          </cell>
          <cell r="AD16">
            <v>1.6289418266589386E-2</v>
          </cell>
          <cell r="AE16">
            <v>1</v>
          </cell>
          <cell r="AF16">
            <v>1.67</v>
          </cell>
          <cell r="AG16">
            <v>12.07</v>
          </cell>
          <cell r="AH16">
            <v>15.57</v>
          </cell>
          <cell r="AI16">
            <v>16.960999999999999</v>
          </cell>
          <cell r="AJ16">
            <v>18.37</v>
          </cell>
          <cell r="AK16">
            <v>16.878357587308294</v>
          </cell>
          <cell r="AL16">
            <v>14.648044942680542</v>
          </cell>
          <cell r="AM16">
            <v>17.761343497732124</v>
          </cell>
          <cell r="AN16">
            <v>18.415095593173149</v>
          </cell>
          <cell r="AO16">
            <v>15.432507826418014</v>
          </cell>
          <cell r="AP16">
            <v>0.43595249885999721</v>
          </cell>
          <cell r="AQ16">
            <v>0.28321591038000271</v>
          </cell>
          <cell r="AR16">
            <v>-11.05222739453</v>
          </cell>
          <cell r="AS16">
            <v>-14.271737066250001</v>
          </cell>
          <cell r="AT16">
            <v>-15.315511798679999</v>
          </cell>
          <cell r="AU16">
            <v>-17.136233615910001</v>
          </cell>
          <cell r="AV16">
            <v>-15.186498896428294</v>
          </cell>
          <cell r="AW16">
            <v>-12.473342213860541</v>
          </cell>
          <cell r="AX16">
            <v>-16.139665104032126</v>
          </cell>
          <cell r="AY16">
            <v>3.3891684092399998</v>
          </cell>
          <cell r="AZ16">
            <v>4.4069410147100001</v>
          </cell>
          <cell r="BA16">
            <v>5.7052039484599995</v>
          </cell>
          <cell r="BB16">
            <v>7.3506921497799986</v>
          </cell>
          <cell r="BC16">
            <v>8.5844585338699986</v>
          </cell>
          <cell r="BD16">
            <v>10.276317224749999</v>
          </cell>
          <cell r="BE16">
            <v>12.45101995357</v>
          </cell>
          <cell r="BF16">
            <v>14.072698347269998</v>
          </cell>
          <cell r="BG16">
            <v>15.599700646759999</v>
          </cell>
          <cell r="BH16">
            <v>2.67</v>
          </cell>
          <cell r="BI16">
            <v>14.74</v>
          </cell>
          <cell r="BJ16">
            <v>30.310000000000002</v>
          </cell>
          <cell r="BK16">
            <v>47.271000000000001</v>
          </cell>
          <cell r="BL16">
            <v>65.641000000000005</v>
          </cell>
          <cell r="BM16">
            <v>82.519357587308292</v>
          </cell>
          <cell r="BN16">
            <v>97.167402529988834</v>
          </cell>
          <cell r="BO16">
            <v>114.92874602772096</v>
          </cell>
          <cell r="BP16">
            <v>133.34384162089412</v>
          </cell>
          <cell r="BQ16">
            <v>0.71916840923999992</v>
          </cell>
          <cell r="BR16">
            <v>-10.33305898529</v>
          </cell>
          <cell r="BS16">
            <v>-24.604796051540003</v>
          </cell>
          <cell r="BT16">
            <v>-39.920307850219999</v>
          </cell>
          <cell r="BU16">
            <v>-57.056541466130007</v>
          </cell>
          <cell r="BV16">
            <v>-72.24304036255829</v>
          </cell>
          <cell r="BW16">
            <v>-84.716382576418837</v>
          </cell>
          <cell r="BX16">
            <v>-100.85604768045096</v>
          </cell>
          <cell r="BY16">
            <v>-117.74414097413413</v>
          </cell>
          <cell r="BZ16">
            <v>1.7</v>
          </cell>
          <cell r="CA16">
            <v>2.1638999999999999</v>
          </cell>
          <cell r="CB16">
            <v>1.3045</v>
          </cell>
          <cell r="CC16">
            <v>4.4069410147100001</v>
          </cell>
          <cell r="CD16">
            <v>5.1684000000000001</v>
          </cell>
          <cell r="CE16">
            <v>-0.76145898529</v>
          </cell>
          <cell r="CF16">
            <v>-14.732973169452823</v>
          </cell>
        </row>
        <row r="17">
          <cell r="L17">
            <v>36</v>
          </cell>
          <cell r="M17">
            <v>0</v>
          </cell>
          <cell r="N17">
            <v>36</v>
          </cell>
          <cell r="Q17">
            <v>26.3</v>
          </cell>
          <cell r="R17">
            <v>16.488442864</v>
          </cell>
          <cell r="S17">
            <v>14.380580665999998</v>
          </cell>
          <cell r="T17">
            <v>2.6394211340000004</v>
          </cell>
          <cell r="U17">
            <v>0.60057041300000003</v>
          </cell>
          <cell r="V17">
            <v>1.036056863</v>
          </cell>
          <cell r="W17">
            <v>0.37276778499999996</v>
          </cell>
          <cell r="X17">
            <v>0.41796588399999995</v>
          </cell>
          <cell r="Y17">
            <v>0.37255316999999993</v>
          </cell>
          <cell r="Z17">
            <v>0</v>
          </cell>
          <cell r="AA17">
            <v>74.364814778999985</v>
          </cell>
          <cell r="AB17">
            <v>3.3452313610793948E-2</v>
          </cell>
          <cell r="AC17">
            <v>0</v>
          </cell>
          <cell r="AD17">
            <v>3.3452313610793948E-2</v>
          </cell>
          <cell r="AE17">
            <v>0</v>
          </cell>
          <cell r="AF17">
            <v>0</v>
          </cell>
          <cell r="AG17">
            <v>0</v>
          </cell>
          <cell r="AH17">
            <v>0</v>
          </cell>
          <cell r="AI17">
            <v>0</v>
          </cell>
          <cell r="AJ17">
            <v>0</v>
          </cell>
          <cell r="AK17">
            <v>0</v>
          </cell>
          <cell r="AL17">
            <v>0</v>
          </cell>
          <cell r="AM17">
            <v>0</v>
          </cell>
          <cell r="AN17">
            <v>0</v>
          </cell>
          <cell r="AO17">
            <v>0</v>
          </cell>
          <cell r="AP17">
            <v>0</v>
          </cell>
          <cell r="AQ17">
            <v>11.756456</v>
          </cell>
          <cell r="AR17">
            <v>26.3</v>
          </cell>
          <cell r="AS17">
            <v>16.488442864</v>
          </cell>
          <cell r="AT17">
            <v>14.380580665999998</v>
          </cell>
          <cell r="AU17">
            <v>2.6394211340000004</v>
          </cell>
          <cell r="AV17">
            <v>0.60057041300000003</v>
          </cell>
          <cell r="AW17">
            <v>1.036056863</v>
          </cell>
          <cell r="AX17">
            <v>0.37276778499999996</v>
          </cell>
          <cell r="AY17">
            <v>11.756456</v>
          </cell>
          <cell r="AZ17">
            <v>38.056455999999997</v>
          </cell>
          <cell r="BA17">
            <v>54.544898863999997</v>
          </cell>
          <cell r="BB17">
            <v>68.92547952999999</v>
          </cell>
          <cell r="BC17">
            <v>71.564900663999993</v>
          </cell>
          <cell r="BD17">
            <v>72.165471076999992</v>
          </cell>
          <cell r="BE17">
            <v>73.201527939999991</v>
          </cell>
          <cell r="BF17">
            <v>73.574295724999985</v>
          </cell>
          <cell r="BG17">
            <v>73.992261608999982</v>
          </cell>
          <cell r="BH17">
            <v>0</v>
          </cell>
          <cell r="BI17">
            <v>0</v>
          </cell>
          <cell r="BJ17">
            <v>0</v>
          </cell>
          <cell r="BK17">
            <v>0</v>
          </cell>
          <cell r="BL17">
            <v>0</v>
          </cell>
          <cell r="BM17">
            <v>0</v>
          </cell>
          <cell r="BN17">
            <v>0</v>
          </cell>
          <cell r="BO17">
            <v>0</v>
          </cell>
          <cell r="BP17">
            <v>0</v>
          </cell>
          <cell r="BQ17">
            <v>11.756456</v>
          </cell>
          <cell r="BR17">
            <v>38.056455999999997</v>
          </cell>
          <cell r="BS17">
            <v>54.544898863999997</v>
          </cell>
          <cell r="BT17">
            <v>68.92547952999999</v>
          </cell>
          <cell r="BU17">
            <v>71.564900663999993</v>
          </cell>
          <cell r="BV17">
            <v>72.165471076999992</v>
          </cell>
          <cell r="BW17">
            <v>73.201527939999991</v>
          </cell>
          <cell r="BX17">
            <v>73.574295724999985</v>
          </cell>
          <cell r="BY17">
            <v>73.992261608999982</v>
          </cell>
          <cell r="BZ17">
            <v>0</v>
          </cell>
          <cell r="CA17">
            <v>0</v>
          </cell>
          <cell r="CB17">
            <v>0</v>
          </cell>
          <cell r="CC17">
            <v>38.056455999999997</v>
          </cell>
          <cell r="CD17">
            <v>0</v>
          </cell>
          <cell r="CE17">
            <v>38.056455999999997</v>
          </cell>
          <cell r="CF17" t="str">
            <v xml:space="preserve">n.a. </v>
          </cell>
        </row>
        <row r="18">
          <cell r="L18">
            <v>36</v>
          </cell>
          <cell r="M18">
            <v>0</v>
          </cell>
          <cell r="N18">
            <v>36</v>
          </cell>
          <cell r="Q18">
            <v>26.3</v>
          </cell>
          <cell r="R18">
            <v>16.488442864</v>
          </cell>
          <cell r="S18">
            <v>14.380580665999998</v>
          </cell>
          <cell r="T18">
            <v>2.6394211340000004</v>
          </cell>
          <cell r="U18">
            <v>0.60057041300000003</v>
          </cell>
          <cell r="V18">
            <v>1.036056863</v>
          </cell>
          <cell r="W18">
            <v>0.37276778499999996</v>
          </cell>
          <cell r="X18">
            <v>0.41796588399999995</v>
          </cell>
          <cell r="Y18">
            <v>0.37255316999999993</v>
          </cell>
          <cell r="Z18">
            <v>0</v>
          </cell>
          <cell r="AA18">
            <v>74.364814778999985</v>
          </cell>
          <cell r="AB18">
            <v>3.3452313610793948E-2</v>
          </cell>
          <cell r="AC18" t="str">
            <v/>
          </cell>
          <cell r="AD18">
            <v>3.3452313610793948E-2</v>
          </cell>
          <cell r="AE18">
            <v>0</v>
          </cell>
          <cell r="AF18">
            <v>0</v>
          </cell>
          <cell r="AG18">
            <v>0</v>
          </cell>
          <cell r="AH18">
            <v>0</v>
          </cell>
          <cell r="AI18">
            <v>0</v>
          </cell>
          <cell r="AJ18">
            <v>0</v>
          </cell>
          <cell r="AK18">
            <v>0</v>
          </cell>
          <cell r="AL18">
            <v>0</v>
          </cell>
          <cell r="AM18">
            <v>0</v>
          </cell>
          <cell r="AN18">
            <v>0</v>
          </cell>
          <cell r="AO18">
            <v>0</v>
          </cell>
          <cell r="AP18">
            <v>0</v>
          </cell>
          <cell r="AQ18">
            <v>11.756456</v>
          </cell>
          <cell r="AR18">
            <v>26.3</v>
          </cell>
          <cell r="AS18">
            <v>16.488442864</v>
          </cell>
          <cell r="AT18">
            <v>14.380580665999998</v>
          </cell>
          <cell r="AU18">
            <v>2.6394211340000004</v>
          </cell>
          <cell r="AV18">
            <v>0.60057041300000003</v>
          </cell>
          <cell r="AW18">
            <v>1.036056863</v>
          </cell>
          <cell r="AX18">
            <v>0.37276778499999996</v>
          </cell>
          <cell r="AY18">
            <v>11.756456</v>
          </cell>
          <cell r="AZ18">
            <v>38.056455999999997</v>
          </cell>
          <cell r="BA18">
            <v>54.544898863999997</v>
          </cell>
          <cell r="BB18">
            <v>68.92547952999999</v>
          </cell>
          <cell r="BC18">
            <v>71.564900663999993</v>
          </cell>
          <cell r="BD18">
            <v>72.165471076999992</v>
          </cell>
          <cell r="BE18">
            <v>73.201527939999991</v>
          </cell>
          <cell r="BF18">
            <v>73.574295724999985</v>
          </cell>
          <cell r="BG18">
            <v>73.992261608999982</v>
          </cell>
          <cell r="BI18">
            <v>0</v>
          </cell>
          <cell r="BJ18">
            <v>0</v>
          </cell>
          <cell r="BK18">
            <v>0</v>
          </cell>
          <cell r="BL18">
            <v>0</v>
          </cell>
          <cell r="BM18">
            <v>0</v>
          </cell>
          <cell r="BN18">
            <v>0</v>
          </cell>
          <cell r="BO18">
            <v>0</v>
          </cell>
          <cell r="BP18">
            <v>0</v>
          </cell>
          <cell r="BQ18">
            <v>11.756456</v>
          </cell>
          <cell r="BR18">
            <v>38.056455999999997</v>
          </cell>
          <cell r="BS18">
            <v>54.544898863999997</v>
          </cell>
          <cell r="BT18">
            <v>68.92547952999999</v>
          </cell>
          <cell r="BU18">
            <v>71.564900663999993</v>
          </cell>
          <cell r="BV18">
            <v>72.165471076999992</v>
          </cell>
          <cell r="BW18">
            <v>73.201527939999991</v>
          </cell>
          <cell r="BX18">
            <v>73.574295724999985</v>
          </cell>
          <cell r="BY18">
            <v>73.992261608999982</v>
          </cell>
          <cell r="BZ18">
            <v>0</v>
          </cell>
          <cell r="CA18">
            <v>0</v>
          </cell>
          <cell r="CB18">
            <v>0</v>
          </cell>
          <cell r="CC18">
            <v>38.056455999999997</v>
          </cell>
          <cell r="CD18">
            <v>0</v>
          </cell>
          <cell r="CE18">
            <v>38.056455999999997</v>
          </cell>
          <cell r="CF18" t="str">
            <v xml:space="preserve">n.a. </v>
          </cell>
        </row>
        <row r="19">
          <cell r="L19">
            <v>387.18270000000001</v>
          </cell>
          <cell r="M19">
            <v>0</v>
          </cell>
          <cell r="N19">
            <v>387.18270000000001</v>
          </cell>
          <cell r="Q19">
            <v>35.094471764150001</v>
          </cell>
          <cell r="R19">
            <v>35.14656270695</v>
          </cell>
          <cell r="S19">
            <v>29.180717095710001</v>
          </cell>
          <cell r="T19">
            <v>31.759557582969997</v>
          </cell>
          <cell r="U19">
            <v>26.012900590530002</v>
          </cell>
          <cell r="V19">
            <v>28.550581069179998</v>
          </cell>
          <cell r="W19">
            <v>29.711161721580002</v>
          </cell>
          <cell r="X19">
            <v>29.501093009100003</v>
          </cell>
          <cell r="Y19">
            <v>16.481547299860001</v>
          </cell>
          <cell r="Z19">
            <v>54.881081765122673</v>
          </cell>
          <cell r="AA19">
            <v>407.57820320317273</v>
          </cell>
          <cell r="AB19">
            <v>0.3597821418076097</v>
          </cell>
          <cell r="AC19" t="e">
            <v>#VALUE!</v>
          </cell>
          <cell r="AD19">
            <v>0.3597821418076097</v>
          </cell>
          <cell r="AE19">
            <v>29.198869108833222</v>
          </cell>
          <cell r="AF19">
            <v>28.8</v>
          </cell>
          <cell r="AG19">
            <v>31.3</v>
          </cell>
          <cell r="AH19">
            <v>27.130943987791408</v>
          </cell>
          <cell r="AI19">
            <v>30.444743670989389</v>
          </cell>
          <cell r="AJ19">
            <v>28.784751352719894</v>
          </cell>
          <cell r="AK19">
            <v>31.027972937692418</v>
          </cell>
          <cell r="AL19">
            <v>31.818774086118658</v>
          </cell>
          <cell r="AM19">
            <v>31.975064531434899</v>
          </cell>
          <cell r="AN19">
            <v>40.148619127596049</v>
          </cell>
          <cell r="AO19">
            <v>39.130534348595681</v>
          </cell>
          <cell r="AP19">
            <v>6.3351749155667729</v>
          </cell>
          <cell r="AQ19">
            <v>26.924484573620003</v>
          </cell>
          <cell r="AR19">
            <v>3.7944717641499963</v>
          </cell>
          <cell r="AS19">
            <v>8.0156187191585921</v>
          </cell>
          <cell r="AT19">
            <v>-1.2640265752793898</v>
          </cell>
          <cell r="AU19">
            <v>2.9748062302501026</v>
          </cell>
          <cell r="AV19">
            <v>-5.0150723471624161</v>
          </cell>
          <cell r="AW19">
            <v>-3.2681930169386604</v>
          </cell>
          <cell r="AX19">
            <v>-2.2639028098548977</v>
          </cell>
          <cell r="AY19">
            <v>91.258528598020007</v>
          </cell>
          <cell r="AZ19">
            <v>126.35300036216999</v>
          </cell>
          <cell r="BA19">
            <v>161.49956306912</v>
          </cell>
          <cell r="BB19">
            <v>190.68028016483001</v>
          </cell>
          <cell r="BC19">
            <v>222.43983774780003</v>
          </cell>
          <cell r="BD19">
            <v>357.64563622913556</v>
          </cell>
          <cell r="BE19">
            <v>277.00331940751005</v>
          </cell>
          <cell r="BF19">
            <v>306.71448112909002</v>
          </cell>
          <cell r="BG19">
            <v>336.21557413819005</v>
          </cell>
          <cell r="BH19">
            <v>0</v>
          </cell>
          <cell r="BI19">
            <v>89.29886910883323</v>
          </cell>
          <cell r="BJ19">
            <v>116.42981309662463</v>
          </cell>
          <cell r="BK19">
            <v>146.87455676761402</v>
          </cell>
          <cell r="BL19">
            <v>175.65930812033389</v>
          </cell>
          <cell r="BM19">
            <v>206.68728105802634</v>
          </cell>
          <cell r="BN19">
            <v>238.50605514414499</v>
          </cell>
          <cell r="BO19">
            <v>270.48111967557992</v>
          </cell>
          <cell r="BP19">
            <v>310.629738803176</v>
          </cell>
          <cell r="BQ19">
            <v>91.258528598020007</v>
          </cell>
          <cell r="BR19">
            <v>37.05413125333677</v>
          </cell>
          <cell r="BS19">
            <v>45.069749972495373</v>
          </cell>
          <cell r="BT19">
            <v>43.805723397215992</v>
          </cell>
          <cell r="BU19">
            <v>46.780529627466109</v>
          </cell>
          <cell r="BV19">
            <v>41.765457280303671</v>
          </cell>
          <cell r="BW19">
            <v>38.497264263365032</v>
          </cell>
          <cell r="BX19">
            <v>36.233361453510128</v>
          </cell>
          <cell r="BY19">
            <v>25.585835335014067</v>
          </cell>
          <cell r="BZ19">
            <v>24.199999999999996</v>
          </cell>
          <cell r="CA19">
            <v>15.7</v>
          </cell>
          <cell r="CB19">
            <v>23.898</v>
          </cell>
          <cell r="CC19">
            <v>126.35300036216999</v>
          </cell>
          <cell r="CD19">
            <v>63.797999999999995</v>
          </cell>
          <cell r="CE19">
            <v>62.555000362169999</v>
          </cell>
          <cell r="CF19">
            <v>98.051663629220357</v>
          </cell>
        </row>
        <row r="20">
          <cell r="L20">
            <v>334.5376</v>
          </cell>
          <cell r="N20">
            <v>334.5376</v>
          </cell>
          <cell r="Q20">
            <v>22.9039720259</v>
          </cell>
          <cell r="R20">
            <v>25.0219692973</v>
          </cell>
          <cell r="S20">
            <v>21.114573597</v>
          </cell>
          <cell r="T20">
            <v>20.491068197259999</v>
          </cell>
          <cell r="U20">
            <v>18.793302554930001</v>
          </cell>
          <cell r="V20">
            <v>20.673125192440001</v>
          </cell>
          <cell r="W20">
            <v>21.788663787080001</v>
          </cell>
          <cell r="X20">
            <v>23.042011341850003</v>
          </cell>
          <cell r="Y20">
            <v>10.44828470136</v>
          </cell>
          <cell r="Z20">
            <v>47.236163857398111</v>
          </cell>
          <cell r="AA20">
            <v>281.14187918592813</v>
          </cell>
          <cell r="AB20">
            <v>0.31086268638339837</v>
          </cell>
          <cell r="AC20" t="str">
            <v/>
          </cell>
          <cell r="AD20">
            <v>0.31086268638339837</v>
          </cell>
          <cell r="AE20">
            <v>22</v>
          </cell>
          <cell r="AF20">
            <v>22</v>
          </cell>
          <cell r="AG20">
            <v>22</v>
          </cell>
          <cell r="AH20">
            <v>23</v>
          </cell>
          <cell r="AI20">
            <v>26.92924657871426</v>
          </cell>
          <cell r="AJ20">
            <v>26.854149303394049</v>
          </cell>
          <cell r="AK20">
            <v>26.855239421008392</v>
          </cell>
          <cell r="AL20">
            <v>29.218076853133606</v>
          </cell>
          <cell r="AM20">
            <v>30.998947736553696</v>
          </cell>
          <cell r="AN20">
            <v>33.079835667980184</v>
          </cell>
          <cell r="AO20">
            <v>33.098148150243816</v>
          </cell>
          <cell r="AP20">
            <v>0.79152494470999457</v>
          </cell>
          <cell r="AQ20">
            <v>4.8372196887000065</v>
          </cell>
          <cell r="AR20">
            <v>0.90397202589999992</v>
          </cell>
          <cell r="AS20">
            <v>2.0219692973000001</v>
          </cell>
          <cell r="AT20">
            <v>-5.8146729817142599</v>
          </cell>
          <cell r="AU20">
            <v>-6.3630811061340502</v>
          </cell>
          <cell r="AV20">
            <v>-8.0619368660783906</v>
          </cell>
          <cell r="AW20">
            <v>-8.5449516606936058</v>
          </cell>
          <cell r="AX20">
            <v>-9.2102839494736948</v>
          </cell>
          <cell r="AY20">
            <v>49.628744633410001</v>
          </cell>
          <cell r="AZ20">
            <v>72.532716659309997</v>
          </cell>
          <cell r="BA20">
            <v>97.554685956610001</v>
          </cell>
          <cell r="BB20">
            <v>118.66925955361</v>
          </cell>
          <cell r="BC20">
            <v>139.16032775087001</v>
          </cell>
          <cell r="BD20">
            <v>157.9536303058</v>
          </cell>
          <cell r="BE20">
            <v>178.62675549824002</v>
          </cell>
          <cell r="BF20">
            <v>200.41541928532001</v>
          </cell>
          <cell r="BG20">
            <v>223.45743062717003</v>
          </cell>
          <cell r="BI20">
            <v>66</v>
          </cell>
          <cell r="BJ20">
            <v>89</v>
          </cell>
          <cell r="BK20">
            <v>115.92924657871426</v>
          </cell>
          <cell r="BL20">
            <v>142.78339588210829</v>
          </cell>
          <cell r="BM20">
            <v>169.6386353031167</v>
          </cell>
          <cell r="BN20">
            <v>198.8567121562503</v>
          </cell>
          <cell r="BO20">
            <v>229.855659892804</v>
          </cell>
          <cell r="BP20">
            <v>262.9354955607842</v>
          </cell>
          <cell r="BQ20">
            <v>49.628744633410001</v>
          </cell>
          <cell r="BR20">
            <v>6.5327166593099975</v>
          </cell>
          <cell r="BS20">
            <v>8.5546859566100011</v>
          </cell>
          <cell r="BT20">
            <v>2.7400129748957482</v>
          </cell>
          <cell r="BU20">
            <v>-3.6230681312382842</v>
          </cell>
          <cell r="BV20">
            <v>-11.685004997316696</v>
          </cell>
          <cell r="BW20">
            <v>-20.229956658010281</v>
          </cell>
          <cell r="BX20">
            <v>-29.440240607483986</v>
          </cell>
          <cell r="BY20">
            <v>-39.478064933614178</v>
          </cell>
          <cell r="BZ20">
            <v>16.5</v>
          </cell>
          <cell r="CA20">
            <v>10.1</v>
          </cell>
          <cell r="CB20">
            <v>18</v>
          </cell>
          <cell r="CC20">
            <v>72.532716659309997</v>
          </cell>
          <cell r="CD20">
            <v>44.6</v>
          </cell>
          <cell r="CE20">
            <v>27.932716659309996</v>
          </cell>
          <cell r="CF20">
            <v>62.629409550022409</v>
          </cell>
        </row>
        <row r="21">
          <cell r="L21">
            <v>146.351258</v>
          </cell>
          <cell r="N21">
            <v>146.351258</v>
          </cell>
          <cell r="Q21">
            <v>0</v>
          </cell>
          <cell r="R21">
            <v>0</v>
          </cell>
          <cell r="S21">
            <v>0</v>
          </cell>
          <cell r="T21">
            <v>0</v>
          </cell>
          <cell r="U21">
            <v>109.19289789080555</v>
          </cell>
          <cell r="V21">
            <v>0</v>
          </cell>
          <cell r="W21">
            <v>0</v>
          </cell>
          <cell r="X21">
            <v>0</v>
          </cell>
          <cell r="Y21">
            <v>31.230465983199998</v>
          </cell>
          <cell r="Z21">
            <v>7.9070483567900007</v>
          </cell>
          <cell r="AA21">
            <v>148.33041223079556</v>
          </cell>
          <cell r="AB21">
            <v>0.13599411610972822</v>
          </cell>
          <cell r="AC21" t="str">
            <v/>
          </cell>
          <cell r="AD21">
            <v>0.13599411610972822</v>
          </cell>
          <cell r="AE21">
            <v>0</v>
          </cell>
          <cell r="AF21">
            <v>0</v>
          </cell>
          <cell r="AG21">
            <v>0</v>
          </cell>
          <cell r="AH21">
            <v>0</v>
          </cell>
          <cell r="AI21">
            <v>0</v>
          </cell>
          <cell r="AJ21">
            <v>0</v>
          </cell>
          <cell r="AK21">
            <v>111.04121000000001</v>
          </cell>
          <cell r="AL21">
            <v>0</v>
          </cell>
          <cell r="AM21">
            <v>0</v>
          </cell>
          <cell r="AN21">
            <v>0</v>
          </cell>
          <cell r="AO21">
            <v>35.310048000000002</v>
          </cell>
          <cell r="AP21">
            <v>0</v>
          </cell>
          <cell r="AQ21">
            <v>0</v>
          </cell>
          <cell r="AR21">
            <v>0</v>
          </cell>
          <cell r="AS21">
            <v>0</v>
          </cell>
          <cell r="AT21">
            <v>0</v>
          </cell>
          <cell r="AU21">
            <v>0</v>
          </cell>
          <cell r="AV21">
            <v>-1.8483121091944525</v>
          </cell>
          <cell r="AW21">
            <v>0</v>
          </cell>
          <cell r="AX21">
            <v>0</v>
          </cell>
          <cell r="AY21">
            <v>0</v>
          </cell>
          <cell r="AZ21">
            <v>0</v>
          </cell>
          <cell r="BA21">
            <v>0</v>
          </cell>
          <cell r="BB21">
            <v>0</v>
          </cell>
          <cell r="BC21">
            <v>0</v>
          </cell>
          <cell r="BD21">
            <v>109.19289789080555</v>
          </cell>
          <cell r="BE21">
            <v>109.19289789080555</v>
          </cell>
          <cell r="BF21">
            <v>109.19289789080555</v>
          </cell>
          <cell r="BG21">
            <v>109.19289789080555</v>
          </cell>
          <cell r="BH21">
            <v>0</v>
          </cell>
          <cell r="BI21">
            <v>0</v>
          </cell>
          <cell r="BJ21">
            <v>0</v>
          </cell>
          <cell r="BK21">
            <v>0</v>
          </cell>
          <cell r="BL21">
            <v>0</v>
          </cell>
          <cell r="BM21">
            <v>111.04121000000001</v>
          </cell>
          <cell r="BN21">
            <v>111.04121000000001</v>
          </cell>
          <cell r="BO21">
            <v>111.04121000000001</v>
          </cell>
          <cell r="BP21">
            <v>111.04121000000001</v>
          </cell>
          <cell r="BQ21">
            <v>0</v>
          </cell>
          <cell r="BR21">
            <v>0</v>
          </cell>
          <cell r="BS21">
            <v>0</v>
          </cell>
          <cell r="BT21">
            <v>0</v>
          </cell>
          <cell r="BU21">
            <v>0</v>
          </cell>
          <cell r="BV21">
            <v>-1.8483121091944525</v>
          </cell>
          <cell r="BW21">
            <v>-1.8483121091944525</v>
          </cell>
          <cell r="BX21">
            <v>-1.8483121091944525</v>
          </cell>
          <cell r="BY21">
            <v>-1.8483121091944525</v>
          </cell>
          <cell r="CC21">
            <v>0</v>
          </cell>
          <cell r="CD21">
            <v>0</v>
          </cell>
          <cell r="CE21">
            <v>0</v>
          </cell>
          <cell r="CF21" t="str">
            <v xml:space="preserve">n.a. </v>
          </cell>
        </row>
        <row r="22">
          <cell r="L22">
            <v>52.645099999999999</v>
          </cell>
          <cell r="N22">
            <v>52.645099999999999</v>
          </cell>
          <cell r="Q22">
            <v>12.190499738249997</v>
          </cell>
          <cell r="R22">
            <v>10.12459340965</v>
          </cell>
          <cell r="S22">
            <v>8.0661434987099998</v>
          </cell>
          <cell r="T22">
            <v>11.26848938571</v>
          </cell>
          <cell r="U22">
            <v>7.2195980356000007</v>
          </cell>
          <cell r="V22">
            <v>7.8774558767399991</v>
          </cell>
          <cell r="W22">
            <v>7.9224979344999999</v>
          </cell>
          <cell r="X22">
            <v>6.4590816672500004</v>
          </cell>
          <cell r="Y22">
            <v>6.0332625985000004</v>
          </cell>
          <cell r="Z22">
            <v>7.6449179077245635</v>
          </cell>
          <cell r="AA22">
            <v>126.43632401724457</v>
          </cell>
          <cell r="AB22">
            <v>4.8919455424211347E-2</v>
          </cell>
          <cell r="AC22" t="str">
            <v/>
          </cell>
          <cell r="AD22">
            <v>4.8919455424211347E-2</v>
          </cell>
          <cell r="AE22">
            <v>7.19886910883322</v>
          </cell>
          <cell r="AF22">
            <v>6.8000000000000007</v>
          </cell>
          <cell r="AG22">
            <v>9.3000000000000007</v>
          </cell>
          <cell r="AH22">
            <v>4.1309439877914071</v>
          </cell>
          <cell r="AI22">
            <v>3.5154970922751296</v>
          </cell>
          <cell r="AJ22">
            <v>1.9306020493258464</v>
          </cell>
          <cell r="AK22">
            <v>4.1727335166840263</v>
          </cell>
          <cell r="AL22">
            <v>2.6006972329850533</v>
          </cell>
          <cell r="AM22">
            <v>0.97611679488120406</v>
          </cell>
          <cell r="AN22">
            <v>7.0687834596158625</v>
          </cell>
          <cell r="AO22">
            <v>6.0323861983518672</v>
          </cell>
          <cell r="AP22">
            <v>5.5436499708567784</v>
          </cell>
          <cell r="AQ22">
            <v>22.087264884919996</v>
          </cell>
          <cell r="AR22">
            <v>2.8904997382499964</v>
          </cell>
          <cell r="AS22">
            <v>5.993649421858593</v>
          </cell>
          <cell r="AT22">
            <v>4.5506464064348702</v>
          </cell>
          <cell r="AU22">
            <v>9.3378873363841528</v>
          </cell>
          <cell r="AV22">
            <v>3.0468645189159744</v>
          </cell>
          <cell r="AW22">
            <v>5.2767586437549454</v>
          </cell>
          <cell r="AX22">
            <v>6.9463811396187962</v>
          </cell>
          <cell r="AY22">
            <v>41.629783964609999</v>
          </cell>
          <cell r="AZ22">
            <v>53.820283702859996</v>
          </cell>
          <cell r="BA22">
            <v>63.94487711251</v>
          </cell>
          <cell r="BB22">
            <v>72.011020611220005</v>
          </cell>
          <cell r="BC22">
            <v>83.279509996930003</v>
          </cell>
          <cell r="BD22">
            <v>90.499108032530003</v>
          </cell>
          <cell r="BE22">
            <v>98.376563909270004</v>
          </cell>
          <cell r="BF22">
            <v>106.29906184377</v>
          </cell>
          <cell r="BG22">
            <v>112.75814351102001</v>
          </cell>
          <cell r="BI22">
            <v>23.298869108833223</v>
          </cell>
          <cell r="BJ22">
            <v>27.429813096624631</v>
          </cell>
          <cell r="BK22">
            <v>30.945310188899761</v>
          </cell>
          <cell r="BL22">
            <v>32.875912238225609</v>
          </cell>
          <cell r="BM22">
            <v>37.048645754909636</v>
          </cell>
          <cell r="BN22">
            <v>39.649342987894691</v>
          </cell>
          <cell r="BO22">
            <v>40.625459782775899</v>
          </cell>
          <cell r="BP22">
            <v>47.694243242391764</v>
          </cell>
          <cell r="BQ22">
            <v>41.629783964609999</v>
          </cell>
          <cell r="BR22">
            <v>30.521414594026773</v>
          </cell>
          <cell r="BS22">
            <v>36.515064015885372</v>
          </cell>
          <cell r="BT22">
            <v>41.065710422320244</v>
          </cell>
          <cell r="BU22">
            <v>50.403597758704393</v>
          </cell>
          <cell r="BV22">
            <v>53.450462277620368</v>
          </cell>
          <cell r="BW22">
            <v>58.727220921375313</v>
          </cell>
          <cell r="BX22">
            <v>65.673602060994114</v>
          </cell>
          <cell r="BY22">
            <v>65.063900268628245</v>
          </cell>
          <cell r="BZ22">
            <v>7.6999999999999957</v>
          </cell>
          <cell r="CA22">
            <v>5.6</v>
          </cell>
          <cell r="CB22">
            <v>5.8979999999999997</v>
          </cell>
          <cell r="CC22">
            <v>53.820283702859996</v>
          </cell>
          <cell r="CD22">
            <v>19.197999999999993</v>
          </cell>
          <cell r="CE22">
            <v>34.622283702860003</v>
          </cell>
          <cell r="CF22">
            <v>180.34318003364942</v>
          </cell>
        </row>
        <row r="23">
          <cell r="L23">
            <v>1674.3179556702951</v>
          </cell>
          <cell r="M23">
            <v>8.8000000000000007</v>
          </cell>
          <cell r="N23">
            <v>1683.117955670295</v>
          </cell>
          <cell r="Q23">
            <v>163.61824812751036</v>
          </cell>
          <cell r="R23">
            <v>61.612279365768785</v>
          </cell>
          <cell r="S23">
            <v>90.096186472955367</v>
          </cell>
          <cell r="T23">
            <v>160.4210803613822</v>
          </cell>
          <cell r="U23">
            <v>297.39152626585241</v>
          </cell>
          <cell r="V23">
            <v>186.98624629550562</v>
          </cell>
          <cell r="W23">
            <v>231.99092437548458</v>
          </cell>
          <cell r="X23">
            <v>65.708967842202497</v>
          </cell>
          <cell r="Y23">
            <v>158.71604268705073</v>
          </cell>
          <cell r="Z23">
            <v>89.273360399922467</v>
          </cell>
          <cell r="AA23">
            <v>1685.5098574418048</v>
          </cell>
          <cell r="AB23">
            <v>1.4198339210365529</v>
          </cell>
          <cell r="AC23" t="e">
            <v>#VALUE!</v>
          </cell>
          <cell r="AD23">
            <v>1.4280111532525248</v>
          </cell>
          <cell r="AE23">
            <v>43.358681283538402</v>
          </cell>
          <cell r="AF23">
            <v>54.703301943100755</v>
          </cell>
          <cell r="AG23">
            <v>206.42999999999998</v>
          </cell>
          <cell r="AH23">
            <v>70.698789840206189</v>
          </cell>
          <cell r="AI23">
            <v>59.375908959537576</v>
          </cell>
          <cell r="AJ23">
            <v>96.220930635838158</v>
          </cell>
          <cell r="AK23">
            <v>335.83759517341042</v>
          </cell>
          <cell r="AL23">
            <v>85.101789017341048</v>
          </cell>
          <cell r="AM23">
            <v>224.30134537572255</v>
          </cell>
          <cell r="AN23">
            <v>94.061628612716802</v>
          </cell>
          <cell r="AO23">
            <v>129.78339337572254</v>
          </cell>
          <cell r="AP23">
            <v>83.805314235128307</v>
          </cell>
          <cell r="AQ23">
            <v>-12.008406786217934</v>
          </cell>
          <cell r="AR23">
            <v>-50.777339729859634</v>
          </cell>
          <cell r="AS23">
            <v>-12.611102625827407</v>
          </cell>
          <cell r="AT23">
            <v>27.177377234257804</v>
          </cell>
          <cell r="AU23">
            <v>59.458325550864039</v>
          </cell>
          <cell r="AV23">
            <v>-38.446068907558015</v>
          </cell>
          <cell r="AW23">
            <v>101.88445727816458</v>
          </cell>
          <cell r="AX23">
            <v>7.6895789997620341</v>
          </cell>
          <cell r="AY23">
            <v>169.85889067554956</v>
          </cell>
          <cell r="AZ23">
            <v>325.51155094568986</v>
          </cell>
          <cell r="BA23">
            <v>383.59923816006869</v>
          </cell>
          <cell r="BB23">
            <v>470.15252435386401</v>
          </cell>
          <cell r="BC23">
            <v>625.83178054056623</v>
          </cell>
          <cell r="BD23">
            <v>811.30850955592302</v>
          </cell>
          <cell r="BE23">
            <v>1104.3753511195941</v>
          </cell>
          <cell r="BF23">
            <v>1327.9476802744889</v>
          </cell>
          <cell r="BG23">
            <v>1393.6566481166917</v>
          </cell>
          <cell r="BH23">
            <v>98.061983226639157</v>
          </cell>
          <cell r="BI23">
            <v>304.49198322663915</v>
          </cell>
          <cell r="BJ23">
            <v>375.19077306684534</v>
          </cell>
          <cell r="BK23">
            <v>434.56668202638292</v>
          </cell>
          <cell r="BL23">
            <v>530.78761266222102</v>
          </cell>
          <cell r="BM23">
            <v>866.62520783563139</v>
          </cell>
          <cell r="BN23">
            <v>951.72699685297243</v>
          </cell>
          <cell r="BO23">
            <v>1176.0283422286952</v>
          </cell>
          <cell r="BP23">
            <v>1270.089970841412</v>
          </cell>
          <cell r="BQ23">
            <v>71.79690744891036</v>
          </cell>
          <cell r="BR23">
            <v>21.019567719050727</v>
          </cell>
          <cell r="BS23">
            <v>8.4084650932233131</v>
          </cell>
          <cell r="BT23">
            <v>35.585842327481132</v>
          </cell>
          <cell r="BU23">
            <v>95.044167878345149</v>
          </cell>
          <cell r="BV23">
            <v>53.876199611097185</v>
          </cell>
          <cell r="BW23">
            <v>152.64835426662171</v>
          </cell>
          <cell r="BX23">
            <v>151.91933804579378</v>
          </cell>
          <cell r="BY23">
            <v>123.5666772752795</v>
          </cell>
          <cell r="BZ23">
            <v>87.848982000000007</v>
          </cell>
          <cell r="CA23">
            <v>68.755261813999994</v>
          </cell>
          <cell r="CB23">
            <v>256.76741800000002</v>
          </cell>
          <cell r="CC23">
            <v>325.51155094568986</v>
          </cell>
          <cell r="CD23">
            <v>413.37166181400005</v>
          </cell>
          <cell r="CE23">
            <v>-87.860110868310187</v>
          </cell>
          <cell r="CF23">
            <v>-21.254507501252849</v>
          </cell>
        </row>
        <row r="24">
          <cell r="L24">
            <v>493.00005823502755</v>
          </cell>
          <cell r="M24">
            <v>8.8000000000000007</v>
          </cell>
          <cell r="N24">
            <v>501.80005823502756</v>
          </cell>
          <cell r="Q24">
            <v>20.389989183469996</v>
          </cell>
          <cell r="R24">
            <v>23.18330702766</v>
          </cell>
          <cell r="S24">
            <v>26.06416653558</v>
          </cell>
          <cell r="T24">
            <v>47.061405926010011</v>
          </cell>
          <cell r="U24">
            <v>30.953203019040004</v>
          </cell>
          <cell r="V24">
            <v>36.708243836569999</v>
          </cell>
          <cell r="W24">
            <v>24.578930537091001</v>
          </cell>
          <cell r="X24">
            <v>18.250467203880003</v>
          </cell>
          <cell r="Y24">
            <v>20.02734643026</v>
          </cell>
          <cell r="Z24">
            <v>54.986501595973827</v>
          </cell>
          <cell r="AA24">
            <v>364.86700234252476</v>
          </cell>
          <cell r="AB24">
            <v>0.45811090439493946</v>
          </cell>
          <cell r="AC24">
            <v>8.1772322159718545E-3</v>
          </cell>
          <cell r="AD24">
            <v>0.46628813661091134</v>
          </cell>
          <cell r="AE24">
            <v>27.7</v>
          </cell>
          <cell r="AF24">
            <v>36</v>
          </cell>
          <cell r="AG24">
            <v>32.700000000000003</v>
          </cell>
          <cell r="AH24">
            <v>24.7</v>
          </cell>
          <cell r="AI24">
            <v>31.9</v>
          </cell>
          <cell r="AJ24">
            <v>52.1</v>
          </cell>
          <cell r="AK24">
            <v>39</v>
          </cell>
          <cell r="AL24">
            <v>43.2</v>
          </cell>
          <cell r="AM24">
            <v>43.2</v>
          </cell>
          <cell r="AN24">
            <v>43.2</v>
          </cell>
          <cell r="AO24">
            <v>43.2</v>
          </cell>
          <cell r="AP24">
            <v>10.564640287859877</v>
          </cell>
          <cell r="AQ24">
            <v>-11.601199240870002</v>
          </cell>
          <cell r="AR24">
            <v>-12.310010816530006</v>
          </cell>
          <cell r="AS24">
            <v>-1.5166929723399996</v>
          </cell>
          <cell r="AT24">
            <v>-5.8358334644199985</v>
          </cell>
          <cell r="AU24">
            <v>-5.0385940739899908</v>
          </cell>
          <cell r="AV24">
            <v>-8.0467969809599964</v>
          </cell>
          <cell r="AW24">
            <v>-6.4917561634300043</v>
          </cell>
          <cell r="AX24">
            <v>-18.621069462909002</v>
          </cell>
          <cell r="AY24">
            <v>62.663441046989874</v>
          </cell>
          <cell r="AZ24">
            <v>83.053430230459867</v>
          </cell>
          <cell r="BA24">
            <v>106.23673725811986</v>
          </cell>
          <cell r="BB24">
            <v>132.30090379369986</v>
          </cell>
          <cell r="BC24">
            <v>179.36230971970986</v>
          </cell>
          <cell r="BD24">
            <v>210.31551273874987</v>
          </cell>
          <cell r="BE24">
            <v>247.02375657531988</v>
          </cell>
          <cell r="BF24">
            <v>271.60268711241088</v>
          </cell>
          <cell r="BG24">
            <v>289.8531543162909</v>
          </cell>
          <cell r="BH24">
            <v>63.7</v>
          </cell>
          <cell r="BI24">
            <v>96.4</v>
          </cell>
          <cell r="BJ24">
            <v>121.10000000000001</v>
          </cell>
          <cell r="BK24">
            <v>153</v>
          </cell>
          <cell r="BL24">
            <v>205.1</v>
          </cell>
          <cell r="BM24">
            <v>244.1</v>
          </cell>
          <cell r="BN24">
            <v>287.3</v>
          </cell>
          <cell r="BO24">
            <v>330.5</v>
          </cell>
          <cell r="BP24">
            <v>373.7</v>
          </cell>
          <cell r="BQ24">
            <v>-1.0365589530101289</v>
          </cell>
          <cell r="BR24">
            <v>-13.346569769540139</v>
          </cell>
          <cell r="BS24">
            <v>-14.863262741880149</v>
          </cell>
          <cell r="BT24">
            <v>-20.69909620630014</v>
          </cell>
          <cell r="BU24">
            <v>-25.737690280290138</v>
          </cell>
          <cell r="BV24">
            <v>-33.784487261250121</v>
          </cell>
          <cell r="BW24">
            <v>-40.276243424680132</v>
          </cell>
          <cell r="BX24">
            <v>-58.897312887589123</v>
          </cell>
          <cell r="BY24">
            <v>-83.846845683709091</v>
          </cell>
          <cell r="BZ24">
            <v>25.247000000000003</v>
          </cell>
          <cell r="CA24">
            <v>20.698</v>
          </cell>
          <cell r="CB24">
            <v>19.547000000000001</v>
          </cell>
          <cell r="CC24">
            <v>83.053430230459867</v>
          </cell>
          <cell r="CD24">
            <v>65.492000000000004</v>
          </cell>
          <cell r="CE24">
            <v>17.561430230459862</v>
          </cell>
          <cell r="CF24">
            <v>26.814618931258561</v>
          </cell>
        </row>
        <row r="25">
          <cell r="L25">
            <v>74.080139435267796</v>
          </cell>
          <cell r="N25">
            <v>74.080139435267796</v>
          </cell>
          <cell r="Q25">
            <v>20.419145816216478</v>
          </cell>
          <cell r="R25">
            <v>18.153312371182583</v>
          </cell>
          <cell r="S25">
            <v>17.05947118514537</v>
          </cell>
          <cell r="T25">
            <v>12.247566229500725</v>
          </cell>
          <cell r="U25">
            <v>25.380658931673061</v>
          </cell>
          <cell r="V25">
            <v>21.110588443768986</v>
          </cell>
          <cell r="W25">
            <v>19.332088271396032</v>
          </cell>
          <cell r="X25">
            <v>22.45435902849901</v>
          </cell>
          <cell r="Y25">
            <v>36.47583390597061</v>
          </cell>
          <cell r="Z25">
            <v>17.618997905190007</v>
          </cell>
          <cell r="AA25">
            <v>225.48435435511669</v>
          </cell>
          <cell r="AB25">
            <v>6.8837557131108951E-2</v>
          </cell>
          <cell r="AC25" t="str">
            <v/>
          </cell>
          <cell r="AD25">
            <v>6.8837557131108951E-2</v>
          </cell>
          <cell r="AE25">
            <v>2</v>
          </cell>
          <cell r="AF25">
            <v>4.0999999999999996</v>
          </cell>
          <cell r="AG25">
            <v>5</v>
          </cell>
          <cell r="AH25">
            <v>22</v>
          </cell>
          <cell r="AI25">
            <v>10.4</v>
          </cell>
          <cell r="AJ25">
            <v>11.8</v>
          </cell>
          <cell r="AK25">
            <v>23.4</v>
          </cell>
          <cell r="AL25">
            <v>7.2</v>
          </cell>
          <cell r="AM25">
            <v>7.2</v>
          </cell>
          <cell r="AN25">
            <v>7.2</v>
          </cell>
          <cell r="AO25">
            <v>7.2</v>
          </cell>
          <cell r="AP25">
            <v>6.741418895517878</v>
          </cell>
          <cell r="AQ25">
            <v>2.3909133710559747</v>
          </cell>
          <cell r="AR25">
            <v>15.419145816216478</v>
          </cell>
          <cell r="AS25">
            <v>-3.846687628817417</v>
          </cell>
          <cell r="AT25">
            <v>6.6594711851453692</v>
          </cell>
          <cell r="AU25">
            <v>0.44756622950072433</v>
          </cell>
          <cell r="AV25">
            <v>1.9806589316730623</v>
          </cell>
          <cell r="AW25">
            <v>13.910588443768987</v>
          </cell>
          <cell r="AX25">
            <v>12.132088271396032</v>
          </cell>
          <cell r="AY25">
            <v>15.232332266573852</v>
          </cell>
          <cell r="AZ25">
            <v>35.651478082790334</v>
          </cell>
          <cell r="BA25">
            <v>53.804790453972913</v>
          </cell>
          <cell r="BB25">
            <v>70.864261639118283</v>
          </cell>
          <cell r="BC25">
            <v>83.111827868619002</v>
          </cell>
          <cell r="BD25">
            <v>108.49248680029206</v>
          </cell>
          <cell r="BE25">
            <v>129.60307524406105</v>
          </cell>
          <cell r="BF25">
            <v>148.93516351545708</v>
          </cell>
          <cell r="BG25">
            <v>171.38952254395608</v>
          </cell>
          <cell r="BH25">
            <v>6.1</v>
          </cell>
          <cell r="BI25">
            <v>11.1</v>
          </cell>
          <cell r="BJ25">
            <v>33.1</v>
          </cell>
          <cell r="BK25">
            <v>43.5</v>
          </cell>
          <cell r="BL25">
            <v>55.3</v>
          </cell>
          <cell r="BM25">
            <v>78.699999999999989</v>
          </cell>
          <cell r="BN25">
            <v>85.899999999999991</v>
          </cell>
          <cell r="BO25">
            <v>93.1</v>
          </cell>
          <cell r="BP25">
            <v>100.3</v>
          </cell>
          <cell r="BQ25">
            <v>9.1323322665738527</v>
          </cell>
          <cell r="BR25">
            <v>24.551478082790332</v>
          </cell>
          <cell r="BS25">
            <v>20.704790453972912</v>
          </cell>
          <cell r="BT25">
            <v>27.364261639118283</v>
          </cell>
          <cell r="BU25">
            <v>27.811827868619005</v>
          </cell>
          <cell r="BV25">
            <v>29.792486800292068</v>
          </cell>
          <cell r="BW25">
            <v>43.703075244061054</v>
          </cell>
          <cell r="BX25">
            <v>55.835163515457083</v>
          </cell>
          <cell r="BY25">
            <v>71.089522543956079</v>
          </cell>
          <cell r="BZ25">
            <v>23.351859999999999</v>
          </cell>
          <cell r="CA25">
            <v>20.5769068</v>
          </cell>
          <cell r="CB25">
            <v>29.963000000000001</v>
          </cell>
          <cell r="CC25">
            <v>35.651478082790334</v>
          </cell>
          <cell r="CD25">
            <v>73.891766799999999</v>
          </cell>
          <cell r="CE25">
            <v>-38.240288717209665</v>
          </cell>
          <cell r="CF25">
            <v>-51.751758515550428</v>
          </cell>
        </row>
        <row r="26">
          <cell r="L26">
            <v>10.8</v>
          </cell>
          <cell r="N26">
            <v>10.8</v>
          </cell>
          <cell r="Q26">
            <v>7.4463383106399998</v>
          </cell>
          <cell r="R26">
            <v>8.1457029190000002E-2</v>
          </cell>
          <cell r="S26">
            <v>0</v>
          </cell>
          <cell r="T26">
            <v>0</v>
          </cell>
          <cell r="U26">
            <v>9.3261672939999998E-2</v>
          </cell>
          <cell r="V26">
            <v>0.87509684561000001</v>
          </cell>
          <cell r="W26">
            <v>6.2785879759299998</v>
          </cell>
          <cell r="X26">
            <v>0</v>
          </cell>
          <cell r="Y26">
            <v>0</v>
          </cell>
          <cell r="Z26">
            <v>0</v>
          </cell>
          <cell r="AA26">
            <v>15.571623193810002</v>
          </cell>
          <cell r="AB26">
            <v>1.0035694083238185E-2</v>
          </cell>
          <cell r="AC26" t="str">
            <v/>
          </cell>
          <cell r="AD26">
            <v>1.0035694083238185E-2</v>
          </cell>
          <cell r="AE26">
            <v>1.5389999999999999</v>
          </cell>
          <cell r="AF26">
            <v>2.1778</v>
          </cell>
          <cell r="AG26">
            <v>19.13</v>
          </cell>
          <cell r="AH26">
            <v>1.2230000000000001</v>
          </cell>
          <cell r="AI26">
            <v>3.2370000000000001</v>
          </cell>
          <cell r="AJ26">
            <v>2</v>
          </cell>
          <cell r="AK26">
            <v>3.1</v>
          </cell>
          <cell r="AL26">
            <v>3.5</v>
          </cell>
          <cell r="AM26">
            <v>3.5</v>
          </cell>
          <cell r="AN26">
            <v>3.5</v>
          </cell>
          <cell r="AO26">
            <v>3.5</v>
          </cell>
          <cell r="AP26">
            <v>-0.74211864049999998</v>
          </cell>
          <cell r="AQ26">
            <v>-2.1778</v>
          </cell>
          <cell r="AR26">
            <v>-11.683661689359999</v>
          </cell>
          <cell r="AS26">
            <v>-1.14154297081</v>
          </cell>
          <cell r="AT26">
            <v>-3.2370000000000001</v>
          </cell>
          <cell r="AU26">
            <v>-2</v>
          </cell>
          <cell r="AV26">
            <v>-3.0067383270599999</v>
          </cell>
          <cell r="AW26">
            <v>-2.6249031543900001</v>
          </cell>
          <cell r="AX26">
            <v>2.7785879759299998</v>
          </cell>
          <cell r="AY26">
            <v>0.79688135949999994</v>
          </cell>
          <cell r="AZ26">
            <v>8.2432196701400002</v>
          </cell>
          <cell r="BA26">
            <v>8.3246766993300003</v>
          </cell>
          <cell r="BB26">
            <v>8.3246766993300003</v>
          </cell>
          <cell r="BC26">
            <v>8.3246766993300003</v>
          </cell>
          <cell r="BD26">
            <v>8.417938372270001</v>
          </cell>
          <cell r="BE26">
            <v>9.2930352178800018</v>
          </cell>
          <cell r="BF26">
            <v>15.571623193810002</v>
          </cell>
          <cell r="BG26">
            <v>15.571623193810002</v>
          </cell>
          <cell r="BH26">
            <v>3.7168000000000001</v>
          </cell>
          <cell r="BI26">
            <v>22.846799999999998</v>
          </cell>
          <cell r="BJ26">
            <v>24.069799999999997</v>
          </cell>
          <cell r="BK26">
            <v>27.306799999999996</v>
          </cell>
          <cell r="BL26">
            <v>29.306799999999996</v>
          </cell>
          <cell r="BM26">
            <v>32.406799999999997</v>
          </cell>
          <cell r="BN26">
            <v>35.906799999999997</v>
          </cell>
          <cell r="BO26">
            <v>39.406799999999997</v>
          </cell>
          <cell r="BP26">
            <v>42.906799999999997</v>
          </cell>
          <cell r="BQ26">
            <v>-2.9199186405000002</v>
          </cell>
          <cell r="BR26">
            <v>-14.603580329859998</v>
          </cell>
          <cell r="BS26">
            <v>-15.745123300669997</v>
          </cell>
          <cell r="BT26">
            <v>-18.982123300669997</v>
          </cell>
          <cell r="BU26">
            <v>-20.982123300669997</v>
          </cell>
          <cell r="BV26">
            <v>-23.988861627729996</v>
          </cell>
          <cell r="BW26">
            <v>-26.613764782119993</v>
          </cell>
          <cell r="BX26">
            <v>-23.835176806189995</v>
          </cell>
          <cell r="BY26">
            <v>-27.335176806189995</v>
          </cell>
          <cell r="BZ26">
            <v>0.55522199999999999</v>
          </cell>
          <cell r="CA26">
            <v>0.17439501400000001</v>
          </cell>
          <cell r="CB26">
            <v>0.149418</v>
          </cell>
          <cell r="CC26">
            <v>8.2432196701400002</v>
          </cell>
          <cell r="CD26">
            <v>0.87903501400000006</v>
          </cell>
          <cell r="CE26">
            <v>7.36418465614</v>
          </cell>
          <cell r="CF26">
            <v>837.75782976262644</v>
          </cell>
        </row>
        <row r="27">
          <cell r="Q27">
            <v>7.9655878573700001</v>
          </cell>
          <cell r="R27">
            <v>3.5245921513900003</v>
          </cell>
          <cell r="S27">
            <v>3.5429002791599995</v>
          </cell>
          <cell r="T27">
            <v>4.7418241746799987</v>
          </cell>
          <cell r="U27">
            <v>2.7218993596900005</v>
          </cell>
          <cell r="V27">
            <v>3.1123026226399997</v>
          </cell>
          <cell r="W27">
            <v>8.4185952205899994</v>
          </cell>
          <cell r="X27">
            <v>0</v>
          </cell>
          <cell r="Y27">
            <v>0</v>
          </cell>
          <cell r="Z27">
            <v>0</v>
          </cell>
          <cell r="AA27">
            <v>43.863806238139993</v>
          </cell>
        </row>
        <row r="28">
          <cell r="L28">
            <v>186.15</v>
          </cell>
          <cell r="N28">
            <v>186.15</v>
          </cell>
          <cell r="Q28">
            <v>5.0113765807009782</v>
          </cell>
          <cell r="R28">
            <v>4.7818756766337636</v>
          </cell>
          <cell r="S28">
            <v>21.554095750260004</v>
          </cell>
          <cell r="T28">
            <v>5.9497288321294901</v>
          </cell>
          <cell r="U28">
            <v>3.9456540861499994</v>
          </cell>
          <cell r="V28">
            <v>21.941462904838779</v>
          </cell>
          <cell r="W28">
            <v>6.9551681920775339</v>
          </cell>
          <cell r="X28">
            <v>11.505704975772867</v>
          </cell>
          <cell r="Y28">
            <v>5.8337863561200001</v>
          </cell>
          <cell r="Z28">
            <v>7.3605258967185696</v>
          </cell>
          <cell r="AA28">
            <v>167.42776221485198</v>
          </cell>
          <cell r="AB28">
            <v>0.17297633829581371</v>
          </cell>
          <cell r="AC28" t="str">
            <v/>
          </cell>
          <cell r="AD28">
            <v>0.17297633829581371</v>
          </cell>
          <cell r="AE28">
            <v>10.119681283538403</v>
          </cell>
          <cell r="AF28">
            <v>10.35904385061521</v>
          </cell>
          <cell r="AG28">
            <v>9.3999999999999986</v>
          </cell>
          <cell r="AH28">
            <v>7.7757898402061905</v>
          </cell>
          <cell r="AI28">
            <v>10.8</v>
          </cell>
          <cell r="AJ28">
            <v>24</v>
          </cell>
          <cell r="AK28">
            <v>5.2</v>
          </cell>
          <cell r="AL28">
            <v>29.5</v>
          </cell>
          <cell r="AM28">
            <v>29.5</v>
          </cell>
          <cell r="AN28">
            <v>29.5</v>
          </cell>
          <cell r="AO28">
            <v>29.5</v>
          </cell>
          <cell r="AP28">
            <v>53.538706444161605</v>
          </cell>
          <cell r="AQ28">
            <v>-1.4290486148652075</v>
          </cell>
          <cell r="AR28">
            <v>-4.3886234192990203</v>
          </cell>
          <cell r="AS28">
            <v>-2.9939141635724269</v>
          </cell>
          <cell r="AT28">
            <v>10.754095750260003</v>
          </cell>
          <cell r="AU28">
            <v>-18.050271167870509</v>
          </cell>
          <cell r="AV28">
            <v>-1.2543459138500008</v>
          </cell>
          <cell r="AW28">
            <v>-7.5585370951612205</v>
          </cell>
          <cell r="AX28">
            <v>-22.544831807922467</v>
          </cell>
          <cell r="AY28">
            <v>72.588382963450016</v>
          </cell>
          <cell r="AZ28">
            <v>77.599759544150999</v>
          </cell>
          <cell r="BA28">
            <v>82.381635220784759</v>
          </cell>
          <cell r="BB28">
            <v>103.93573097104476</v>
          </cell>
          <cell r="BC28">
            <v>109.88545980317426</v>
          </cell>
          <cell r="BD28">
            <v>113.83111388932426</v>
          </cell>
          <cell r="BE28">
            <v>135.77257679416303</v>
          </cell>
          <cell r="BF28">
            <v>142.72774498624057</v>
          </cell>
          <cell r="BG28">
            <v>154.23344996201342</v>
          </cell>
          <cell r="BH28">
            <v>20.478725134153613</v>
          </cell>
          <cell r="BI28">
            <v>29.878725134153612</v>
          </cell>
          <cell r="BJ28">
            <v>37.654514974359799</v>
          </cell>
          <cell r="BK28">
            <v>48.454514974359796</v>
          </cell>
          <cell r="BL28">
            <v>72.454514974359796</v>
          </cell>
          <cell r="BM28">
            <v>77.654514974359799</v>
          </cell>
          <cell r="BN28">
            <v>107.1545149743598</v>
          </cell>
          <cell r="BO28">
            <v>136.65451497435981</v>
          </cell>
          <cell r="BP28">
            <v>166.15451497435981</v>
          </cell>
          <cell r="BQ28">
            <v>52.109657829296403</v>
          </cell>
          <cell r="BR28">
            <v>47.721034409997387</v>
          </cell>
          <cell r="BS28">
            <v>44.72712024642496</v>
          </cell>
          <cell r="BT28">
            <v>55.481215996684966</v>
          </cell>
          <cell r="BU28">
            <v>37.430944828814461</v>
          </cell>
          <cell r="BV28">
            <v>36.176598914964458</v>
          </cell>
          <cell r="BW28">
            <v>28.618061819803231</v>
          </cell>
          <cell r="BX28">
            <v>6.073230011880753</v>
          </cell>
          <cell r="BY28">
            <v>-11.921065012346389</v>
          </cell>
          <cell r="BZ28">
            <v>32.994900000000001</v>
          </cell>
          <cell r="CA28">
            <v>16.900000000000002</v>
          </cell>
          <cell r="CB28">
            <v>8.8000000000000007</v>
          </cell>
          <cell r="CC28">
            <v>77.599759544150999</v>
          </cell>
          <cell r="CD28">
            <v>58.694900000000004</v>
          </cell>
          <cell r="CE28">
            <v>18.904859544150995</v>
          </cell>
          <cell r="CF28">
            <v>32.208691971791417</v>
          </cell>
        </row>
        <row r="29">
          <cell r="L29">
            <v>650.67629999999997</v>
          </cell>
          <cell r="M29">
            <v>0</v>
          </cell>
          <cell r="N29">
            <v>650.67629999999997</v>
          </cell>
          <cell r="Q29">
            <v>100</v>
          </cell>
          <cell r="R29">
            <v>0</v>
          </cell>
          <cell r="S29">
            <v>17.899999999999999</v>
          </cell>
          <cell r="T29">
            <v>88.812268683499994</v>
          </cell>
          <cell r="U29">
            <v>114.15</v>
          </cell>
          <cell r="V29">
            <v>98.247960756910004</v>
          </cell>
          <cell r="W29">
            <v>150.15</v>
          </cell>
          <cell r="X29">
            <v>0.5</v>
          </cell>
          <cell r="Y29">
            <v>58.708274347809997</v>
          </cell>
          <cell r="Z29">
            <v>0.14164135505006925</v>
          </cell>
          <cell r="AA29">
            <v>633.51014514327005</v>
          </cell>
          <cell r="AB29">
            <v>0.60462854574197344</v>
          </cell>
          <cell r="AC29" t="str">
            <v/>
          </cell>
          <cell r="AD29">
            <v>0.60462854574197344</v>
          </cell>
          <cell r="AE29">
            <v>0</v>
          </cell>
          <cell r="AF29">
            <v>0</v>
          </cell>
          <cell r="AG29">
            <v>138.19999999999999</v>
          </cell>
          <cell r="AH29">
            <v>0</v>
          </cell>
          <cell r="AI29">
            <v>0</v>
          </cell>
          <cell r="AJ29">
            <v>0</v>
          </cell>
          <cell r="AK29">
            <v>139.078495</v>
          </cell>
          <cell r="AL29">
            <v>0</v>
          </cell>
          <cell r="AM29">
            <v>139.078</v>
          </cell>
          <cell r="AN29">
            <v>0</v>
          </cell>
          <cell r="AO29">
            <v>0</v>
          </cell>
          <cell r="AP29">
            <v>4.4000000000000004</v>
          </cell>
          <cell r="AQ29">
            <v>0.5</v>
          </cell>
          <cell r="AR29">
            <v>-38.199999999999989</v>
          </cell>
          <cell r="AS29">
            <v>0</v>
          </cell>
          <cell r="AT29">
            <v>17.899999999999999</v>
          </cell>
          <cell r="AU29">
            <v>88.812268683499994</v>
          </cell>
          <cell r="AV29">
            <v>-24.928494999999998</v>
          </cell>
          <cell r="AW29">
            <v>98.247960756910004</v>
          </cell>
          <cell r="AX29">
            <v>11.072000000000003</v>
          </cell>
          <cell r="AY29">
            <v>4.9000000000000004</v>
          </cell>
          <cell r="AZ29">
            <v>104.9</v>
          </cell>
          <cell r="BA29">
            <v>104.9</v>
          </cell>
          <cell r="BB29">
            <v>122.8</v>
          </cell>
          <cell r="BC29">
            <v>211.61226868349999</v>
          </cell>
          <cell r="BD29">
            <v>325.7622686835</v>
          </cell>
          <cell r="BE29">
            <v>424.01022944041</v>
          </cell>
          <cell r="BF29">
            <v>574.16022944041003</v>
          </cell>
          <cell r="BG29">
            <v>574.66022944041003</v>
          </cell>
          <cell r="BH29">
            <v>0</v>
          </cell>
          <cell r="BI29">
            <v>138.19999999999999</v>
          </cell>
          <cell r="BJ29">
            <v>138.19999999999999</v>
          </cell>
          <cell r="BK29">
            <v>138.19999999999999</v>
          </cell>
          <cell r="BL29">
            <v>138.19999999999999</v>
          </cell>
          <cell r="BM29">
            <v>277.27849500000002</v>
          </cell>
          <cell r="BN29">
            <v>277.27849500000002</v>
          </cell>
          <cell r="BO29">
            <v>416.356495</v>
          </cell>
          <cell r="BP29">
            <v>416.356495</v>
          </cell>
          <cell r="BQ29">
            <v>4.9000000000000004</v>
          </cell>
          <cell r="BR29">
            <v>-33.29999999999999</v>
          </cell>
          <cell r="BS29">
            <v>-33.29999999999999</v>
          </cell>
          <cell r="BT29">
            <v>-15.399999999999991</v>
          </cell>
          <cell r="BU29">
            <v>73.412268683500002</v>
          </cell>
          <cell r="BV29">
            <v>48.483773683500004</v>
          </cell>
          <cell r="BW29">
            <v>146.73173444041001</v>
          </cell>
          <cell r="BX29">
            <v>157.80373444041004</v>
          </cell>
          <cell r="BY29">
            <v>158.30373444041004</v>
          </cell>
          <cell r="BZ29">
            <v>0</v>
          </cell>
          <cell r="CA29">
            <v>8.5</v>
          </cell>
          <cell r="CB29">
            <v>189.3</v>
          </cell>
          <cell r="CC29">
            <v>104.9</v>
          </cell>
          <cell r="CD29">
            <v>197.8</v>
          </cell>
          <cell r="CE29">
            <v>-92.9</v>
          </cell>
          <cell r="CF29">
            <v>-46.96663296258847</v>
          </cell>
        </row>
        <row r="30">
          <cell r="G30" t="str">
            <v>Ecopetrol</v>
          </cell>
          <cell r="L30">
            <v>207</v>
          </cell>
          <cell r="N30">
            <v>207</v>
          </cell>
          <cell r="O30">
            <v>0</v>
          </cell>
          <cell r="P30">
            <v>0</v>
          </cell>
          <cell r="Q30">
            <v>0</v>
          </cell>
          <cell r="R30">
            <v>0</v>
          </cell>
          <cell r="S30">
            <v>0</v>
          </cell>
          <cell r="T30">
            <v>0</v>
          </cell>
          <cell r="U30">
            <v>103.5</v>
          </cell>
          <cell r="V30">
            <v>0</v>
          </cell>
          <cell r="W30">
            <v>0</v>
          </cell>
          <cell r="X30">
            <v>0</v>
          </cell>
          <cell r="Y30">
            <v>0</v>
          </cell>
          <cell r="Z30">
            <v>0</v>
          </cell>
          <cell r="AA30">
            <v>103.5</v>
          </cell>
          <cell r="AB30">
            <v>0.19235080326206519</v>
          </cell>
          <cell r="AC30" t="str">
            <v/>
          </cell>
          <cell r="AD30">
            <v>0.19235080326206519</v>
          </cell>
          <cell r="AE30">
            <v>0</v>
          </cell>
          <cell r="AF30">
            <v>0</v>
          </cell>
          <cell r="AG30">
            <v>0</v>
          </cell>
          <cell r="AH30">
            <v>0</v>
          </cell>
          <cell r="AI30">
            <v>0</v>
          </cell>
          <cell r="AJ30">
            <v>0</v>
          </cell>
          <cell r="AK30">
            <v>139.078495</v>
          </cell>
          <cell r="AL30">
            <v>0</v>
          </cell>
          <cell r="AM30">
            <v>139.078</v>
          </cell>
          <cell r="AN30">
            <v>0</v>
          </cell>
          <cell r="AO30">
            <v>0</v>
          </cell>
          <cell r="AP30">
            <v>0</v>
          </cell>
          <cell r="AQ30">
            <v>0</v>
          </cell>
          <cell r="AR30">
            <v>0</v>
          </cell>
          <cell r="AS30">
            <v>0</v>
          </cell>
          <cell r="AT30">
            <v>0</v>
          </cell>
          <cell r="AU30">
            <v>0</v>
          </cell>
          <cell r="AV30">
            <v>-35.578495000000004</v>
          </cell>
          <cell r="AW30">
            <v>0</v>
          </cell>
          <cell r="AX30">
            <v>-139.078</v>
          </cell>
          <cell r="AY30">
            <v>0</v>
          </cell>
          <cell r="AZ30">
            <v>0</v>
          </cell>
          <cell r="BA30">
            <v>0</v>
          </cell>
          <cell r="BB30">
            <v>0</v>
          </cell>
          <cell r="BC30">
            <v>0</v>
          </cell>
          <cell r="BD30">
            <v>103.5</v>
          </cell>
          <cell r="BE30">
            <v>103.5</v>
          </cell>
          <cell r="BF30">
            <v>103.5</v>
          </cell>
          <cell r="BG30">
            <v>103.5</v>
          </cell>
          <cell r="BH30">
            <v>0</v>
          </cell>
          <cell r="BI30">
            <v>0</v>
          </cell>
          <cell r="BJ30">
            <v>0</v>
          </cell>
          <cell r="BK30">
            <v>0</v>
          </cell>
          <cell r="BL30">
            <v>0</v>
          </cell>
          <cell r="BM30">
            <v>139.078495</v>
          </cell>
          <cell r="BN30">
            <v>139.078495</v>
          </cell>
          <cell r="BO30">
            <v>278.15649500000001</v>
          </cell>
          <cell r="BP30">
            <v>278.15649500000001</v>
          </cell>
          <cell r="BQ30">
            <v>0</v>
          </cell>
          <cell r="BR30">
            <v>0</v>
          </cell>
          <cell r="BS30">
            <v>0</v>
          </cell>
          <cell r="BT30">
            <v>0</v>
          </cell>
          <cell r="BU30">
            <v>0</v>
          </cell>
          <cell r="BV30">
            <v>-35.578495000000004</v>
          </cell>
          <cell r="BW30">
            <v>-35.578495000000004</v>
          </cell>
          <cell r="BX30">
            <v>-174.65649500000001</v>
          </cell>
          <cell r="BY30">
            <v>-174.65649500000001</v>
          </cell>
          <cell r="CC30">
            <v>0</v>
          </cell>
          <cell r="CD30">
            <v>0</v>
          </cell>
          <cell r="CE30">
            <v>0</v>
          </cell>
          <cell r="CF30" t="str">
            <v xml:space="preserve">n.a. </v>
          </cell>
        </row>
        <row r="31">
          <cell r="G31" t="str">
            <v>Telecom</v>
          </cell>
          <cell r="L31">
            <v>40.799999999999997</v>
          </cell>
          <cell r="N31">
            <v>40.799999999999997</v>
          </cell>
          <cell r="O31">
            <v>0</v>
          </cell>
          <cell r="P31">
            <v>0</v>
          </cell>
          <cell r="Q31">
            <v>0</v>
          </cell>
          <cell r="R31">
            <v>0</v>
          </cell>
          <cell r="S31">
            <v>0</v>
          </cell>
          <cell r="T31">
            <v>0</v>
          </cell>
          <cell r="U31">
            <v>0</v>
          </cell>
          <cell r="V31">
            <v>0</v>
          </cell>
          <cell r="W31">
            <v>0</v>
          </cell>
          <cell r="X31">
            <v>0</v>
          </cell>
          <cell r="Y31">
            <v>0</v>
          </cell>
          <cell r="Z31">
            <v>0</v>
          </cell>
          <cell r="AA31">
            <v>0</v>
          </cell>
          <cell r="AB31">
            <v>3.7912622092233138E-2</v>
          </cell>
          <cell r="AC31" t="str">
            <v/>
          </cell>
          <cell r="AD31">
            <v>3.7912622092233138E-2</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CC31">
            <v>0</v>
          </cell>
          <cell r="CD31">
            <v>0</v>
          </cell>
          <cell r="CE31">
            <v>0</v>
          </cell>
          <cell r="CF31" t="str">
            <v xml:space="preserve">n.a. </v>
          </cell>
        </row>
        <row r="32">
          <cell r="G32" t="str">
            <v>Banco de la República</v>
          </cell>
          <cell r="L32">
            <v>99.999999999999986</v>
          </cell>
          <cell r="N32">
            <v>99.999999999999986</v>
          </cell>
          <cell r="O32">
            <v>0</v>
          </cell>
          <cell r="P32">
            <v>0</v>
          </cell>
          <cell r="Q32">
            <v>100</v>
          </cell>
          <cell r="R32">
            <v>0</v>
          </cell>
          <cell r="S32">
            <v>0</v>
          </cell>
          <cell r="T32">
            <v>0</v>
          </cell>
          <cell r="U32">
            <v>0</v>
          </cell>
          <cell r="V32">
            <v>0</v>
          </cell>
          <cell r="W32">
            <v>0</v>
          </cell>
          <cell r="X32">
            <v>0</v>
          </cell>
          <cell r="Y32">
            <v>0</v>
          </cell>
          <cell r="Z32">
            <v>0</v>
          </cell>
          <cell r="AA32">
            <v>100</v>
          </cell>
          <cell r="AB32">
            <v>9.2923093363316514E-2</v>
          </cell>
          <cell r="AC32" t="str">
            <v/>
          </cell>
          <cell r="AD32">
            <v>9.2923093363316514E-2</v>
          </cell>
          <cell r="AE32">
            <v>0</v>
          </cell>
          <cell r="AF32">
            <v>0</v>
          </cell>
          <cell r="AG32">
            <v>138.19999999999999</v>
          </cell>
          <cell r="AH32">
            <v>0</v>
          </cell>
          <cell r="AI32">
            <v>0</v>
          </cell>
          <cell r="AJ32">
            <v>0</v>
          </cell>
          <cell r="AK32">
            <v>0</v>
          </cell>
          <cell r="AL32">
            <v>0</v>
          </cell>
          <cell r="AM32">
            <v>0</v>
          </cell>
          <cell r="AN32">
            <v>0</v>
          </cell>
          <cell r="AO32">
            <v>0</v>
          </cell>
          <cell r="AP32">
            <v>0</v>
          </cell>
          <cell r="AQ32">
            <v>0</v>
          </cell>
          <cell r="AR32">
            <v>-38.199999999999989</v>
          </cell>
          <cell r="AS32">
            <v>0</v>
          </cell>
          <cell r="AT32">
            <v>0</v>
          </cell>
          <cell r="AU32">
            <v>0</v>
          </cell>
          <cell r="AV32">
            <v>0</v>
          </cell>
          <cell r="AW32">
            <v>0</v>
          </cell>
          <cell r="AX32">
            <v>0</v>
          </cell>
          <cell r="AY32">
            <v>0</v>
          </cell>
          <cell r="AZ32">
            <v>100</v>
          </cell>
          <cell r="BA32">
            <v>100</v>
          </cell>
          <cell r="BB32">
            <v>100</v>
          </cell>
          <cell r="BC32">
            <v>100</v>
          </cell>
          <cell r="BD32">
            <v>100</v>
          </cell>
          <cell r="BE32">
            <v>100</v>
          </cell>
          <cell r="BF32">
            <v>100</v>
          </cell>
          <cell r="BG32">
            <v>100</v>
          </cell>
          <cell r="BH32">
            <v>0</v>
          </cell>
          <cell r="BI32">
            <v>138.19999999999999</v>
          </cell>
          <cell r="BJ32">
            <v>138.19999999999999</v>
          </cell>
          <cell r="BK32">
            <v>138.19999999999999</v>
          </cell>
          <cell r="BL32">
            <v>138.19999999999999</v>
          </cell>
          <cell r="BM32">
            <v>138.19999999999999</v>
          </cell>
          <cell r="BN32">
            <v>138.19999999999999</v>
          </cell>
          <cell r="BO32">
            <v>138.19999999999999</v>
          </cell>
          <cell r="BP32">
            <v>138.19999999999999</v>
          </cell>
          <cell r="BQ32">
            <v>0</v>
          </cell>
          <cell r="BR32">
            <v>-38.199999999999989</v>
          </cell>
          <cell r="BS32">
            <v>-38.199999999999989</v>
          </cell>
          <cell r="BT32">
            <v>-38.199999999999989</v>
          </cell>
          <cell r="BU32">
            <v>-38.199999999999989</v>
          </cell>
          <cell r="BV32">
            <v>-38.199999999999989</v>
          </cell>
          <cell r="BW32">
            <v>-38.199999999999989</v>
          </cell>
          <cell r="BX32">
            <v>-38.199999999999989</v>
          </cell>
          <cell r="BY32">
            <v>-38.199999999999989</v>
          </cell>
          <cell r="CB32">
            <v>189.3</v>
          </cell>
          <cell r="CC32">
            <v>100</v>
          </cell>
          <cell r="CD32">
            <v>189.3</v>
          </cell>
          <cell r="CE32">
            <v>-89.300000000000011</v>
          </cell>
          <cell r="CF32">
            <v>-47.173798203909143</v>
          </cell>
        </row>
        <row r="33">
          <cell r="G33" t="str">
            <v>Isagen</v>
          </cell>
          <cell r="L33">
            <v>175.30330000000001</v>
          </cell>
          <cell r="N33">
            <v>175.30330000000001</v>
          </cell>
          <cell r="O33">
            <v>0</v>
          </cell>
          <cell r="P33">
            <v>0</v>
          </cell>
          <cell r="Q33">
            <v>0</v>
          </cell>
          <cell r="R33">
            <v>0</v>
          </cell>
          <cell r="S33">
            <v>0</v>
          </cell>
          <cell r="T33">
            <v>0</v>
          </cell>
          <cell r="U33">
            <v>0</v>
          </cell>
          <cell r="V33">
            <v>0</v>
          </cell>
          <cell r="W33">
            <v>0</v>
          </cell>
          <cell r="X33">
            <v>0</v>
          </cell>
          <cell r="Y33">
            <v>0</v>
          </cell>
          <cell r="Z33">
            <v>0</v>
          </cell>
          <cell r="AA33">
            <v>0</v>
          </cell>
          <cell r="AB33">
            <v>0.16289724912797485</v>
          </cell>
          <cell r="AC33" t="str">
            <v/>
          </cell>
          <cell r="AD33">
            <v>0.16289724912797485</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CC33">
            <v>0</v>
          </cell>
          <cell r="CD33">
            <v>0</v>
          </cell>
          <cell r="CE33">
            <v>0</v>
          </cell>
          <cell r="CF33" t="str">
            <v xml:space="preserve">n.a. </v>
          </cell>
        </row>
        <row r="34">
          <cell r="G34" t="str">
            <v xml:space="preserve">Resto  </v>
          </cell>
          <cell r="L34">
            <v>127.57299999999999</v>
          </cell>
          <cell r="N34">
            <v>127.57299999999999</v>
          </cell>
          <cell r="O34">
            <v>4.4000000000000004</v>
          </cell>
          <cell r="P34">
            <v>0.5</v>
          </cell>
          <cell r="Q34">
            <v>0</v>
          </cell>
          <cell r="R34">
            <v>0</v>
          </cell>
          <cell r="S34">
            <v>17.899999999999999</v>
          </cell>
          <cell r="T34">
            <v>88.812268683499994</v>
          </cell>
          <cell r="U34">
            <v>10.650000000000006</v>
          </cell>
          <cell r="V34">
            <v>98.247960756910004</v>
          </cell>
          <cell r="W34">
            <v>150.15</v>
          </cell>
          <cell r="X34">
            <v>0.5</v>
          </cell>
          <cell r="Y34">
            <v>58.708274347809997</v>
          </cell>
          <cell r="Z34">
            <v>0.14164135505006925</v>
          </cell>
          <cell r="AA34">
            <v>430.01014514327011</v>
          </cell>
          <cell r="AB34">
            <v>0.11854477789638378</v>
          </cell>
          <cell r="AC34" t="str">
            <v/>
          </cell>
          <cell r="AD34">
            <v>0.11854477789638378</v>
          </cell>
          <cell r="AE34">
            <v>0</v>
          </cell>
          <cell r="AF34">
            <v>0</v>
          </cell>
          <cell r="AG34">
            <v>0</v>
          </cell>
          <cell r="AH34">
            <v>0</v>
          </cell>
          <cell r="AI34">
            <v>0</v>
          </cell>
          <cell r="AJ34">
            <v>0</v>
          </cell>
          <cell r="AK34">
            <v>0</v>
          </cell>
          <cell r="AL34">
            <v>0</v>
          </cell>
          <cell r="AM34">
            <v>0</v>
          </cell>
          <cell r="AN34">
            <v>0</v>
          </cell>
          <cell r="AO34">
            <v>0</v>
          </cell>
          <cell r="AP34">
            <v>4.4000000000000004</v>
          </cell>
          <cell r="AQ34">
            <v>0.5</v>
          </cell>
          <cell r="AR34">
            <v>0</v>
          </cell>
          <cell r="AS34">
            <v>0</v>
          </cell>
          <cell r="AT34">
            <v>17.899999999999999</v>
          </cell>
          <cell r="AU34">
            <v>88.812268683499994</v>
          </cell>
          <cell r="AV34">
            <v>10.650000000000006</v>
          </cell>
          <cell r="AW34">
            <v>98.247960756910004</v>
          </cell>
          <cell r="AX34">
            <v>150.15</v>
          </cell>
          <cell r="AY34">
            <v>4.9000000000000004</v>
          </cell>
          <cell r="AZ34">
            <v>4.9000000000000004</v>
          </cell>
          <cell r="BA34">
            <v>4.9000000000000004</v>
          </cell>
          <cell r="BB34">
            <v>22.799999999999997</v>
          </cell>
          <cell r="BC34">
            <v>111.61226868349999</v>
          </cell>
          <cell r="BD34">
            <v>122.2622686835</v>
          </cell>
          <cell r="BE34">
            <v>220.51022944041</v>
          </cell>
          <cell r="BF34">
            <v>370.66022944041003</v>
          </cell>
          <cell r="BG34">
            <v>371.16022944041003</v>
          </cell>
          <cell r="BH34">
            <v>0</v>
          </cell>
          <cell r="BI34">
            <v>0</v>
          </cell>
          <cell r="BJ34">
            <v>0</v>
          </cell>
          <cell r="BK34">
            <v>0</v>
          </cell>
          <cell r="BL34">
            <v>0</v>
          </cell>
          <cell r="BM34">
            <v>0</v>
          </cell>
          <cell r="BN34">
            <v>0</v>
          </cell>
          <cell r="BO34">
            <v>0</v>
          </cell>
          <cell r="BP34">
            <v>0</v>
          </cell>
          <cell r="BQ34">
            <v>4.9000000000000004</v>
          </cell>
          <cell r="BR34">
            <v>4.9000000000000004</v>
          </cell>
          <cell r="BS34">
            <v>4.9000000000000004</v>
          </cell>
          <cell r="BT34">
            <v>22.799999999999997</v>
          </cell>
          <cell r="BU34">
            <v>111.61226868349999</v>
          </cell>
          <cell r="BV34">
            <v>122.2622686835</v>
          </cell>
          <cell r="BW34">
            <v>220.51022944041</v>
          </cell>
          <cell r="BX34">
            <v>370.66022944041003</v>
          </cell>
          <cell r="BY34">
            <v>371.16022944041003</v>
          </cell>
          <cell r="CA34">
            <v>8.5</v>
          </cell>
          <cell r="CC34">
            <v>4.9000000000000004</v>
          </cell>
          <cell r="CD34">
            <v>8.5</v>
          </cell>
          <cell r="CE34">
            <v>-3.5999999999999996</v>
          </cell>
          <cell r="CF34">
            <v>-42.35294117647058</v>
          </cell>
        </row>
        <row r="35">
          <cell r="Q35">
            <v>0</v>
          </cell>
          <cell r="R35">
            <v>0</v>
          </cell>
          <cell r="S35">
            <v>0</v>
          </cell>
          <cell r="T35">
            <v>0</v>
          </cell>
          <cell r="U35">
            <v>109.19289789080555</v>
          </cell>
          <cell r="V35">
            <v>0</v>
          </cell>
          <cell r="W35">
            <v>0</v>
          </cell>
          <cell r="X35">
            <v>0</v>
          </cell>
          <cell r="Y35">
            <v>31.230465983199998</v>
          </cell>
          <cell r="Z35">
            <v>7.9070483567900007</v>
          </cell>
          <cell r="AA35">
            <v>148.33041223079556</v>
          </cell>
          <cell r="AE35">
            <v>0</v>
          </cell>
          <cell r="AF35">
            <v>0</v>
          </cell>
          <cell r="AG35">
            <v>0</v>
          </cell>
          <cell r="AH35">
            <v>0</v>
          </cell>
          <cell r="AI35">
            <v>0</v>
          </cell>
          <cell r="AJ35">
            <v>0</v>
          </cell>
          <cell r="AK35">
            <v>111.04121000000001</v>
          </cell>
          <cell r="AL35">
            <v>0</v>
          </cell>
          <cell r="AM35">
            <v>0</v>
          </cell>
          <cell r="AN35">
            <v>0</v>
          </cell>
          <cell r="AO35">
            <v>35.310048000000002</v>
          </cell>
          <cell r="AV35">
            <v>-1.8483121091944525</v>
          </cell>
          <cell r="AW35">
            <v>0</v>
          </cell>
          <cell r="AX35">
            <v>0</v>
          </cell>
          <cell r="AY35">
            <v>0</v>
          </cell>
          <cell r="AZ35">
            <v>0</v>
          </cell>
          <cell r="BA35">
            <v>0</v>
          </cell>
          <cell r="BB35">
            <v>0</v>
          </cell>
          <cell r="BC35">
            <v>0</v>
          </cell>
          <cell r="BD35">
            <v>109.19289789080555</v>
          </cell>
          <cell r="BE35">
            <v>109.19289789080555</v>
          </cell>
          <cell r="BF35">
            <v>109.19289789080555</v>
          </cell>
          <cell r="BG35">
            <v>109.19289789080555</v>
          </cell>
          <cell r="BH35">
            <v>0</v>
          </cell>
          <cell r="BI35">
            <v>0</v>
          </cell>
          <cell r="BJ35">
            <v>0</v>
          </cell>
          <cell r="BK35">
            <v>0</v>
          </cell>
          <cell r="BL35">
            <v>0</v>
          </cell>
          <cell r="BM35">
            <v>111.04121000000001</v>
          </cell>
          <cell r="BN35">
            <v>111.04121000000001</v>
          </cell>
          <cell r="BO35">
            <v>111.04121000000001</v>
          </cell>
          <cell r="BP35">
            <v>111.04121000000001</v>
          </cell>
          <cell r="BQ35">
            <v>0</v>
          </cell>
          <cell r="BR35">
            <v>0</v>
          </cell>
          <cell r="BS35">
            <v>0</v>
          </cell>
          <cell r="BT35">
            <v>0</v>
          </cell>
          <cell r="BU35">
            <v>0</v>
          </cell>
          <cell r="BV35">
            <v>-1.8483121091944525</v>
          </cell>
          <cell r="BW35">
            <v>-1.8483121091944525</v>
          </cell>
          <cell r="BX35">
            <v>-1.8483121091944525</v>
          </cell>
          <cell r="BY35">
            <v>-1.8483121091944525</v>
          </cell>
        </row>
        <row r="36">
          <cell r="AA36">
            <v>0</v>
          </cell>
        </row>
        <row r="37">
          <cell r="L37">
            <v>113.2602</v>
          </cell>
          <cell r="M37">
            <v>0</v>
          </cell>
          <cell r="N37">
            <v>113.2602</v>
          </cell>
          <cell r="Q37">
            <v>2.3858103791129004</v>
          </cell>
          <cell r="R37">
            <v>11.887735109712438</v>
          </cell>
          <cell r="S37">
            <v>3.9755527228100003</v>
          </cell>
          <cell r="T37">
            <v>1.608286515561961</v>
          </cell>
          <cell r="U37">
            <v>10.953951305553801</v>
          </cell>
          <cell r="V37">
            <v>4.9905908851678502</v>
          </cell>
          <cell r="W37">
            <v>16.277554178399999</v>
          </cell>
          <cell r="X37">
            <v>12.998436634050623</v>
          </cell>
          <cell r="Y37">
            <v>6.4403356636901039</v>
          </cell>
          <cell r="Z37">
            <v>1.2586452902</v>
          </cell>
          <cell r="AA37">
            <v>86.454751723295459</v>
          </cell>
          <cell r="AB37">
            <v>0.10524488138947902</v>
          </cell>
          <cell r="AC37" t="str">
            <v/>
          </cell>
          <cell r="AD37">
            <v>0.10524488138947902</v>
          </cell>
          <cell r="AE37">
            <v>2</v>
          </cell>
          <cell r="AF37">
            <v>2.0664580924855489</v>
          </cell>
          <cell r="AG37">
            <v>2</v>
          </cell>
          <cell r="AH37">
            <v>15</v>
          </cell>
          <cell r="AI37">
            <v>3.03890895953757</v>
          </cell>
          <cell r="AJ37">
            <v>6.320930635838149</v>
          </cell>
          <cell r="AK37">
            <v>15.0178901734104</v>
          </cell>
          <cell r="AL37">
            <v>1.7017890173410399</v>
          </cell>
          <cell r="AM37">
            <v>1.8233453757225431</v>
          </cell>
          <cell r="AN37">
            <v>10.6616286127168</v>
          </cell>
          <cell r="AO37">
            <v>11.073345375722543</v>
          </cell>
          <cell r="AP37">
            <v>9.3026672480889339</v>
          </cell>
          <cell r="AQ37">
            <v>0.30872769846130099</v>
          </cell>
          <cell r="AR37">
            <v>0.38581037911290039</v>
          </cell>
          <cell r="AS37">
            <v>-3.1122648902875625</v>
          </cell>
          <cell r="AT37">
            <v>0.93664376327243026</v>
          </cell>
          <cell r="AU37">
            <v>-4.7126441202761882</v>
          </cell>
          <cell r="AV37">
            <v>-4.0639388678565993</v>
          </cell>
          <cell r="AW37">
            <v>3.2888018678268103</v>
          </cell>
          <cell r="AX37">
            <v>14.454208802677456</v>
          </cell>
          <cell r="AY37">
            <v>13.677853039035783</v>
          </cell>
          <cell r="AZ37">
            <v>16.063663418148685</v>
          </cell>
          <cell r="BA37">
            <v>27.951398527861123</v>
          </cell>
          <cell r="BB37">
            <v>31.926951250671124</v>
          </cell>
          <cell r="BC37">
            <v>33.535237766233088</v>
          </cell>
          <cell r="BD37">
            <v>44.489189071786889</v>
          </cell>
          <cell r="BE37">
            <v>49.479779956954737</v>
          </cell>
          <cell r="BF37">
            <v>65.757334135354739</v>
          </cell>
          <cell r="BG37">
            <v>78.755770769405359</v>
          </cell>
          <cell r="BH37">
            <v>4.0664580924855489</v>
          </cell>
          <cell r="BI37">
            <v>6.0664580924855489</v>
          </cell>
          <cell r="BJ37">
            <v>21.066458092485547</v>
          </cell>
          <cell r="BK37">
            <v>24.105367052023116</v>
          </cell>
          <cell r="BL37">
            <v>30.426297687861265</v>
          </cell>
          <cell r="BM37">
            <v>45.444187861271665</v>
          </cell>
          <cell r="BN37">
            <v>47.145976878612707</v>
          </cell>
          <cell r="BO37">
            <v>48.969322254335253</v>
          </cell>
          <cell r="BP37">
            <v>59.63095086705205</v>
          </cell>
          <cell r="BQ37">
            <v>9.6113949465502344</v>
          </cell>
          <cell r="BR37">
            <v>9.9972053256631366</v>
          </cell>
          <cell r="BS37">
            <v>6.8849404353755759</v>
          </cell>
          <cell r="BT37">
            <v>7.8215841986480079</v>
          </cell>
          <cell r="BU37">
            <v>3.1089400783718233</v>
          </cell>
          <cell r="BV37">
            <v>-0.95499878948477601</v>
          </cell>
          <cell r="BW37">
            <v>2.3338030783420294</v>
          </cell>
          <cell r="BX37">
            <v>16.788011881019486</v>
          </cell>
          <cell r="BY37">
            <v>19.124819902353309</v>
          </cell>
          <cell r="BZ37">
            <v>5.7</v>
          </cell>
          <cell r="CA37">
            <v>1.9059599999999999</v>
          </cell>
          <cell r="CB37">
            <v>9.0079999999999991</v>
          </cell>
          <cell r="CC37">
            <v>16.063663418148685</v>
          </cell>
          <cell r="CD37">
            <v>16.613959999999999</v>
          </cell>
          <cell r="CE37">
            <v>-0.55029658185131325</v>
          </cell>
          <cell r="CF37">
            <v>-3.312254163675088</v>
          </cell>
        </row>
        <row r="38">
          <cell r="AX38">
            <v>0</v>
          </cell>
        </row>
        <row r="39">
          <cell r="L39">
            <v>16373.281155494238</v>
          </cell>
          <cell r="M39">
            <v>135.69999999999999</v>
          </cell>
          <cell r="N39">
            <v>16508.981155494239</v>
          </cell>
          <cell r="Q39">
            <v>1562.7831531930278</v>
          </cell>
          <cell r="R39">
            <v>1335.5517192517016</v>
          </cell>
          <cell r="S39">
            <v>1459.047491855642</v>
          </cell>
          <cell r="T39">
            <v>1159.3107929749726</v>
          </cell>
          <cell r="U39">
            <v>1597.5626542380755</v>
          </cell>
          <cell r="V39">
            <v>1158.6352938180446</v>
          </cell>
          <cell r="W39">
            <v>1776.2541291407799</v>
          </cell>
          <cell r="X39">
            <v>1148.16500459793</v>
          </cell>
          <cell r="Y39">
            <v>1326.2427183671002</v>
          </cell>
          <cell r="Z39">
            <v>1444.4205285488624</v>
          </cell>
          <cell r="AA39">
            <v>16173.372973017391</v>
          </cell>
          <cell r="AB39">
            <v>15.214559334758221</v>
          </cell>
          <cell r="AC39">
            <v>0.12609663769402049</v>
          </cell>
          <cell r="AD39">
            <v>15.340655972452241</v>
          </cell>
          <cell r="AE39">
            <v>1068.756363721712</v>
          </cell>
          <cell r="AF39">
            <v>1031.5777194433952</v>
          </cell>
          <cell r="AG39">
            <v>1690.6351448769883</v>
          </cell>
          <cell r="AH39">
            <v>1358.7798698023994</v>
          </cell>
          <cell r="AI39">
            <v>1374.4917745222101</v>
          </cell>
          <cell r="AJ39">
            <v>1179.3930006395633</v>
          </cell>
          <cell r="AK39">
            <v>1534.3171599107404</v>
          </cell>
          <cell r="AL39">
            <v>1264.4377098859882</v>
          </cell>
          <cell r="AM39">
            <v>1722.9915233872923</v>
          </cell>
          <cell r="AN39">
            <v>1132.3894454266033</v>
          </cell>
          <cell r="AO39">
            <v>1381.363855251499</v>
          </cell>
          <cell r="AP39">
            <v>71.364277281834575</v>
          </cell>
          <cell r="AQ39">
            <v>33.701126584312306</v>
          </cell>
          <cell r="AR39">
            <v>-127.85199168396048</v>
          </cell>
          <cell r="AS39">
            <v>-23.228150550697819</v>
          </cell>
          <cell r="AT39">
            <v>84.555717333431858</v>
          </cell>
          <cell r="AU39">
            <v>-20.082207664590669</v>
          </cell>
          <cell r="AV39">
            <v>63.245494327335109</v>
          </cell>
          <cell r="AW39">
            <v>-105.80241606794357</v>
          </cell>
          <cell r="AX39">
            <v>53.262605753487605</v>
          </cell>
          <cell r="AY39">
            <v>2205.399487031254</v>
          </cell>
          <cell r="AZ39">
            <v>3768.1826402242814</v>
          </cell>
          <cell r="BA39">
            <v>5103.7343594759841</v>
          </cell>
          <cell r="BB39">
            <v>6562.7818513316261</v>
          </cell>
          <cell r="BC39">
            <v>7722.0926443065982</v>
          </cell>
          <cell r="BD39">
            <v>9319.6552985446742</v>
          </cell>
          <cell r="BE39">
            <v>10478.29059236272</v>
          </cell>
          <cell r="BF39">
            <v>12254.544721503498</v>
          </cell>
          <cell r="BG39">
            <v>13402.709726101428</v>
          </cell>
          <cell r="BH39">
            <v>2100.3340831651071</v>
          </cell>
          <cell r="BI39">
            <v>3790.969228042095</v>
          </cell>
          <cell r="BJ39">
            <v>5149.7490978444939</v>
          </cell>
          <cell r="BK39">
            <v>6524.240872366704</v>
          </cell>
          <cell r="BL39">
            <v>7703.633873006268</v>
          </cell>
          <cell r="BM39">
            <v>9237.951032917008</v>
          </cell>
          <cell r="BN39">
            <v>10502.388742802996</v>
          </cell>
          <cell r="BO39">
            <v>12225.380266190288</v>
          </cell>
          <cell r="BP39">
            <v>13357.769711616891</v>
          </cell>
          <cell r="BQ39">
            <v>105.06540386614701</v>
          </cell>
          <cell r="BR39">
            <v>-22.786587817813107</v>
          </cell>
          <cell r="BS39">
            <v>-46.014738368510578</v>
          </cell>
          <cell r="BT39">
            <v>38.540978964921635</v>
          </cell>
          <cell r="BU39">
            <v>18.458771300331165</v>
          </cell>
          <cell r="BV39">
            <v>81.704265627666445</v>
          </cell>
          <cell r="BW39">
            <v>-24.098150440275276</v>
          </cell>
          <cell r="BX39">
            <v>29.164455313210055</v>
          </cell>
          <cell r="BY39">
            <v>44.940014484536732</v>
          </cell>
          <cell r="BZ39">
            <v>842.57889693999994</v>
          </cell>
          <cell r="CA39">
            <v>927.68931685999996</v>
          </cell>
          <cell r="CB39">
            <v>1208.6286885</v>
          </cell>
          <cell r="CC39">
            <v>3768.1826402242814</v>
          </cell>
          <cell r="CD39">
            <v>2978.8969023</v>
          </cell>
          <cell r="CE39">
            <v>789.28573792428142</v>
          </cell>
          <cell r="CF39">
            <v>26.495906498639666</v>
          </cell>
        </row>
        <row r="40">
          <cell r="L40">
            <v>13835.694171749044</v>
          </cell>
          <cell r="M40">
            <v>135.69999999999999</v>
          </cell>
          <cell r="N40">
            <v>13971.394171749045</v>
          </cell>
          <cell r="Q40">
            <v>1268.7220575171</v>
          </cell>
          <cell r="R40">
            <v>1092.9445943212645</v>
          </cell>
          <cell r="S40">
            <v>1295.417872444752</v>
          </cell>
          <cell r="T40">
            <v>1014.5812168482155</v>
          </cell>
          <cell r="U40">
            <v>1354.7337588262978</v>
          </cell>
          <cell r="V40">
            <v>960.02224971059331</v>
          </cell>
          <cell r="W40">
            <v>1265.1986597871232</v>
          </cell>
          <cell r="X40">
            <v>936.90342965859668</v>
          </cell>
          <cell r="Y40">
            <v>1228.3875718281001</v>
          </cell>
          <cell r="Z40">
            <v>1156.9326777232959</v>
          </cell>
          <cell r="AA40">
            <v>13489.21330987201</v>
          </cell>
          <cell r="AB40">
            <v>12.856555012677306</v>
          </cell>
          <cell r="AC40">
            <v>0.12609663769402049</v>
          </cell>
          <cell r="AD40">
            <v>12.982651650371327</v>
          </cell>
          <cell r="AE40">
            <v>929.45947908848927</v>
          </cell>
          <cell r="AF40">
            <v>892.92130767706817</v>
          </cell>
          <cell r="AG40">
            <v>1360.775263643369</v>
          </cell>
          <cell r="AH40">
            <v>1117.5272050139802</v>
          </cell>
          <cell r="AI40">
            <v>1194.5268260458204</v>
          </cell>
          <cell r="AJ40">
            <v>1015.6999489663854</v>
          </cell>
          <cell r="AK40">
            <v>1339.5282498029148</v>
          </cell>
          <cell r="AL40">
            <v>986.0998427674059</v>
          </cell>
          <cell r="AM40">
            <v>1284.7680256926667</v>
          </cell>
          <cell r="AN40">
            <v>1018.8048114522427</v>
          </cell>
          <cell r="AO40">
            <v>1305.8493420435129</v>
          </cell>
          <cell r="AP40">
            <v>72.717097568724057</v>
          </cell>
          <cell r="AQ40">
            <v>20.271336872389384</v>
          </cell>
          <cell r="AR40">
            <v>-92.05320612626906</v>
          </cell>
          <cell r="AS40">
            <v>-24.582610692715662</v>
          </cell>
          <cell r="AT40">
            <v>100.89104639893162</v>
          </cell>
          <cell r="AU40">
            <v>-1.1187321181698735</v>
          </cell>
          <cell r="AV40">
            <v>15.205509023383001</v>
          </cell>
          <cell r="AW40">
            <v>-26.077593056812589</v>
          </cell>
          <cell r="AX40">
            <v>-19.569365905543464</v>
          </cell>
          <cell r="AY40">
            <v>1915.3692212066708</v>
          </cell>
          <cell r="AZ40">
            <v>3184.0912787237703</v>
          </cell>
          <cell r="BA40">
            <v>4277.0358730450353</v>
          </cell>
          <cell r="BB40">
            <v>5572.4537454897873</v>
          </cell>
          <cell r="BC40">
            <v>6587.0349623380025</v>
          </cell>
          <cell r="BD40">
            <v>7941.7687211643015</v>
          </cell>
          <cell r="BE40">
            <v>8901.7909708748957</v>
          </cell>
          <cell r="BF40">
            <v>10166.989630662018</v>
          </cell>
          <cell r="BG40">
            <v>11103.893060320614</v>
          </cell>
          <cell r="BH40">
            <v>1822.3807867655573</v>
          </cell>
          <cell r="BI40">
            <v>3183.1560504089261</v>
          </cell>
          <cell r="BJ40">
            <v>4300.6832554229059</v>
          </cell>
          <cell r="BK40">
            <v>5495.2100814687265</v>
          </cell>
          <cell r="BL40">
            <v>6510.9100304351123</v>
          </cell>
          <cell r="BM40">
            <v>7850.4382802380269</v>
          </cell>
          <cell r="BN40">
            <v>8836.5381230054336</v>
          </cell>
          <cell r="BO40">
            <v>10121.306148698101</v>
          </cell>
          <cell r="BP40">
            <v>11140.110960150343</v>
          </cell>
          <cell r="BQ40">
            <v>92.988434441113299</v>
          </cell>
          <cell r="BR40">
            <v>0.93522831484444424</v>
          </cell>
          <cell r="BS40">
            <v>-23.647382377871011</v>
          </cell>
          <cell r="BT40">
            <v>77.243664021060852</v>
          </cell>
          <cell r="BU40">
            <v>76.124931902891007</v>
          </cell>
          <cell r="BV40">
            <v>91.330440926274349</v>
          </cell>
          <cell r="BW40">
            <v>65.25284786946213</v>
          </cell>
          <cell r="BX40">
            <v>45.683481963917075</v>
          </cell>
          <cell r="BY40">
            <v>-36.217899829729504</v>
          </cell>
          <cell r="BZ40">
            <v>791.20639199999994</v>
          </cell>
          <cell r="CA40">
            <v>742.37813659999995</v>
          </cell>
          <cell r="CB40">
            <v>1032.1294164999999</v>
          </cell>
          <cell r="CC40">
            <v>3184.0912787237703</v>
          </cell>
          <cell r="CD40">
            <v>2565.7139450999998</v>
          </cell>
          <cell r="CE40">
            <v>618.37733362377048</v>
          </cell>
          <cell r="CF40">
            <v>24.101569654900445</v>
          </cell>
        </row>
        <row r="41">
          <cell r="L41">
            <v>3039.0008549118384</v>
          </cell>
          <cell r="N41">
            <v>3039.0008549118384</v>
          </cell>
          <cell r="Q41">
            <v>229.82562720125335</v>
          </cell>
          <cell r="R41">
            <v>231.78627338494337</v>
          </cell>
          <cell r="S41">
            <v>220.36962725388335</v>
          </cell>
          <cell r="T41">
            <v>260.44324293338332</v>
          </cell>
          <cell r="U41">
            <v>322.04120313933333</v>
          </cell>
          <cell r="V41">
            <v>236.95060855333335</v>
          </cell>
          <cell r="W41">
            <v>239.19305935433331</v>
          </cell>
          <cell r="X41">
            <v>228.78283836333335</v>
          </cell>
          <cell r="Y41">
            <v>240.99025244333333</v>
          </cell>
          <cell r="Z41">
            <v>489.89481366878056</v>
          </cell>
          <cell r="AA41">
            <v>3086.9989706022366</v>
          </cell>
          <cell r="AB41">
            <v>2.8239336017217149</v>
          </cell>
          <cell r="AC41" t="str">
            <v/>
          </cell>
          <cell r="AD41">
            <v>2.8239336017217149</v>
          </cell>
          <cell r="AE41">
            <v>136.05759002946508</v>
          </cell>
          <cell r="AF41">
            <v>235.99584037193952</v>
          </cell>
          <cell r="AG41">
            <v>253.06730158728695</v>
          </cell>
          <cell r="AH41">
            <v>238.41410385292349</v>
          </cell>
          <cell r="AI41">
            <v>234.579779344998</v>
          </cell>
          <cell r="AJ41">
            <v>263.55543885477232</v>
          </cell>
          <cell r="AK41">
            <v>313.56136992002473</v>
          </cell>
          <cell r="AL41">
            <v>219.88163636300035</v>
          </cell>
          <cell r="AM41">
            <v>232.67036491447831</v>
          </cell>
          <cell r="AN41">
            <v>252.64815895060499</v>
          </cell>
          <cell r="AO41">
            <v>242.8264105908535</v>
          </cell>
          <cell r="AP41">
            <v>26.681482223868272</v>
          </cell>
          <cell r="AQ41">
            <v>-12.013488318946202</v>
          </cell>
          <cell r="AR41">
            <v>-23.241674386033594</v>
          </cell>
          <cell r="AS41">
            <v>-6.6278304679801181</v>
          </cell>
          <cell r="AT41">
            <v>-14.210152091114651</v>
          </cell>
          <cell r="AU41">
            <v>-3.1121959213890023</v>
          </cell>
          <cell r="AV41">
            <v>8.4798332193086026</v>
          </cell>
          <cell r="AW41">
            <v>17.068972190333</v>
          </cell>
          <cell r="AX41">
            <v>6.5226944398550017</v>
          </cell>
          <cell r="AY41">
            <v>386.72142430632664</v>
          </cell>
          <cell r="AZ41">
            <v>616.54705150758002</v>
          </cell>
          <cell r="BA41">
            <v>848.33332489252336</v>
          </cell>
          <cell r="BB41">
            <v>1068.7029521464067</v>
          </cell>
          <cell r="BC41">
            <v>1329.14619507979</v>
          </cell>
          <cell r="BD41">
            <v>1651.1873982191232</v>
          </cell>
          <cell r="BE41">
            <v>1888.1380067724565</v>
          </cell>
          <cell r="BF41">
            <v>2127.3310661267897</v>
          </cell>
          <cell r="BG41">
            <v>2356.1139044901229</v>
          </cell>
          <cell r="BH41">
            <v>372.05343040140463</v>
          </cell>
          <cell r="BI41">
            <v>625.12073198869155</v>
          </cell>
          <cell r="BJ41">
            <v>863.53483584161506</v>
          </cell>
          <cell r="BK41">
            <v>1098.114615186613</v>
          </cell>
          <cell r="BL41">
            <v>1361.6700540413854</v>
          </cell>
          <cell r="BM41">
            <v>1675.2314239614102</v>
          </cell>
          <cell r="BN41">
            <v>1895.1130603244105</v>
          </cell>
          <cell r="BO41">
            <v>2127.7834252388889</v>
          </cell>
          <cell r="BP41">
            <v>2380.4315841894941</v>
          </cell>
          <cell r="BQ41">
            <v>14.667993904922014</v>
          </cell>
          <cell r="BR41">
            <v>-8.5736804811115235</v>
          </cell>
          <cell r="BS41">
            <v>-15.201510949091698</v>
          </cell>
          <cell r="BT41">
            <v>-29.411663040206349</v>
          </cell>
          <cell r="BU41">
            <v>-32.523858961595352</v>
          </cell>
          <cell r="BV41">
            <v>-24.044025742286976</v>
          </cell>
          <cell r="BW41">
            <v>-6.9750535519540335</v>
          </cell>
          <cell r="BX41">
            <v>-0.45235911209920232</v>
          </cell>
          <cell r="BY41">
            <v>-24.317679699371183</v>
          </cell>
          <cell r="BZ41">
            <v>145.95099999999999</v>
          </cell>
          <cell r="CA41">
            <v>215.89788499999997</v>
          </cell>
          <cell r="CB41">
            <v>186.13363699999999</v>
          </cell>
          <cell r="CC41">
            <v>616.54705150758002</v>
          </cell>
          <cell r="CD41">
            <v>547.98252200000002</v>
          </cell>
          <cell r="CE41">
            <v>68.564529507580005</v>
          </cell>
          <cell r="CF41">
            <v>12.512174522891083</v>
          </cell>
        </row>
        <row r="42">
          <cell r="L42">
            <v>1136.2711188686997</v>
          </cell>
          <cell r="M42">
            <v>135.69999999999999</v>
          </cell>
          <cell r="N42">
            <v>1271.9711188686997</v>
          </cell>
          <cell r="Q42">
            <v>114.93062309356779</v>
          </cell>
          <cell r="R42">
            <v>97.577095191947578</v>
          </cell>
          <cell r="S42">
            <v>99.839122443596651</v>
          </cell>
          <cell r="T42">
            <v>80.184636532315565</v>
          </cell>
          <cell r="U42">
            <v>78.343778427148891</v>
          </cell>
          <cell r="V42">
            <v>99.025721802846675</v>
          </cell>
          <cell r="W42">
            <v>101.61939423679334</v>
          </cell>
          <cell r="X42">
            <v>104.04936530497444</v>
          </cell>
          <cell r="Y42">
            <v>111.93020796266667</v>
          </cell>
          <cell r="Z42">
            <v>99.254814024515426</v>
          </cell>
          <cell r="AA42">
            <v>1168.2704795129862</v>
          </cell>
          <cell r="AB42">
            <v>1.0558582726467629</v>
          </cell>
          <cell r="AC42">
            <v>0.12609663769402049</v>
          </cell>
          <cell r="AD42">
            <v>1.1819549103407834</v>
          </cell>
          <cell r="AE42">
            <v>38.699802558668416</v>
          </cell>
          <cell r="AF42">
            <v>119.90133607843137</v>
          </cell>
          <cell r="AG42">
            <v>90.284681960784297</v>
          </cell>
          <cell r="AH42">
            <v>72.295434640522842</v>
          </cell>
          <cell r="AI42">
            <v>91.401886405228737</v>
          </cell>
          <cell r="AJ42">
            <v>98.853333464052255</v>
          </cell>
          <cell r="AK42">
            <v>94.987434744842744</v>
          </cell>
          <cell r="AL42">
            <v>64.019107991242834</v>
          </cell>
          <cell r="AM42">
            <v>102.54403622653696</v>
          </cell>
          <cell r="AN42">
            <v>155.55366199584154</v>
          </cell>
          <cell r="AO42">
            <v>157.82449287581693</v>
          </cell>
          <cell r="AP42">
            <v>30.696783632878258</v>
          </cell>
          <cell r="AQ42">
            <v>-7.7822017773646905</v>
          </cell>
          <cell r="AR42">
            <v>24.645941132783491</v>
          </cell>
          <cell r="AS42">
            <v>25.281660551424736</v>
          </cell>
          <cell r="AT42">
            <v>8.4372360383679137</v>
          </cell>
          <cell r="AU42">
            <v>-18.66869693173669</v>
          </cell>
          <cell r="AV42">
            <v>-16.643656317693853</v>
          </cell>
          <cell r="AW42">
            <v>35.006613811603842</v>
          </cell>
          <cell r="AX42">
            <v>-0.92464198974361977</v>
          </cell>
          <cell r="AY42">
            <v>181.51572049261338</v>
          </cell>
          <cell r="AZ42">
            <v>296.44634358618117</v>
          </cell>
          <cell r="BA42">
            <v>394.02343877812871</v>
          </cell>
          <cell r="BB42">
            <v>493.8625612217254</v>
          </cell>
          <cell r="BC42">
            <v>574.04719775404089</v>
          </cell>
          <cell r="BD42">
            <v>652.39097618118979</v>
          </cell>
          <cell r="BE42">
            <v>751.41669798403655</v>
          </cell>
          <cell r="BF42">
            <v>853.0360922208298</v>
          </cell>
          <cell r="BG42">
            <v>957.08545752580426</v>
          </cell>
          <cell r="BH42">
            <v>158.60113863709981</v>
          </cell>
          <cell r="BI42">
            <v>248.88582059788411</v>
          </cell>
          <cell r="BJ42">
            <v>321.18125523840695</v>
          </cell>
          <cell r="BK42">
            <v>412.58314164363571</v>
          </cell>
          <cell r="BL42">
            <v>511.43647510768795</v>
          </cell>
          <cell r="BM42">
            <v>606.42390985253064</v>
          </cell>
          <cell r="BN42">
            <v>670.44301784377353</v>
          </cell>
          <cell r="BO42">
            <v>772.98705407031048</v>
          </cell>
          <cell r="BP42">
            <v>928.54071606615207</v>
          </cell>
          <cell r="BQ42">
            <v>22.914581855513553</v>
          </cell>
          <cell r="BR42">
            <v>47.560522988297038</v>
          </cell>
          <cell r="BS42">
            <v>72.842183539721773</v>
          </cell>
          <cell r="BT42">
            <v>81.279419578089701</v>
          </cell>
          <cell r="BU42">
            <v>62.61072264635299</v>
          </cell>
          <cell r="BV42">
            <v>45.967066328659151</v>
          </cell>
          <cell r="BW42">
            <v>80.973680140263014</v>
          </cell>
          <cell r="BX42">
            <v>80.049038150519323</v>
          </cell>
          <cell r="BY42">
            <v>28.544741459652187</v>
          </cell>
          <cell r="BZ42">
            <v>22.829712000000001</v>
          </cell>
          <cell r="CA42">
            <v>98.086211399999996</v>
          </cell>
          <cell r="CB42">
            <v>88.478014999999999</v>
          </cell>
          <cell r="CC42">
            <v>296.44634358618117</v>
          </cell>
          <cell r="CD42">
            <v>209.3939384</v>
          </cell>
          <cell r="CE42">
            <v>87.052405186181176</v>
          </cell>
          <cell r="CF42">
            <v>41.573507739219821</v>
          </cell>
        </row>
        <row r="43">
          <cell r="L43">
            <v>345.9</v>
          </cell>
          <cell r="M43">
            <v>135.69999999999999</v>
          </cell>
          <cell r="N43">
            <v>481.59999999999997</v>
          </cell>
          <cell r="Q43">
            <v>26.136318601111117</v>
          </cell>
          <cell r="R43">
            <v>28.111831709090907</v>
          </cell>
          <cell r="S43">
            <v>10.912967109</v>
          </cell>
          <cell r="T43">
            <v>10.992378753888888</v>
          </cell>
          <cell r="U43">
            <v>12.36558303222222</v>
          </cell>
          <cell r="V43">
            <v>49.993232800000001</v>
          </cell>
          <cell r="W43">
            <v>32.539151746666668</v>
          </cell>
          <cell r="X43">
            <v>28.857724697777776</v>
          </cell>
          <cell r="Y43">
            <v>28.824999999999999</v>
          </cell>
          <cell r="Z43">
            <v>28.824999999999999</v>
          </cell>
          <cell r="AA43">
            <v>316.25375747975755</v>
          </cell>
          <cell r="AB43">
            <v>0.32142097994371183</v>
          </cell>
          <cell r="AC43">
            <v>0.12609663769402049</v>
          </cell>
          <cell r="AD43">
            <v>0.44751761763773235</v>
          </cell>
          <cell r="AE43">
            <v>0.38659411764705881</v>
          </cell>
          <cell r="AF43">
            <v>29.059669411764705</v>
          </cell>
          <cell r="AG43">
            <v>6.7430152941176473</v>
          </cell>
          <cell r="AH43">
            <v>6.4093235294117639</v>
          </cell>
          <cell r="AI43">
            <v>12.415775294117648</v>
          </cell>
          <cell r="AJ43">
            <v>22.467222352941175</v>
          </cell>
          <cell r="AK43">
            <v>29.995634117647054</v>
          </cell>
          <cell r="AL43">
            <v>14.698715294117646</v>
          </cell>
          <cell r="AM43">
            <v>28.823643529411765</v>
          </cell>
          <cell r="AN43">
            <v>28.823643529411765</v>
          </cell>
          <cell r="AO43">
            <v>83.038381764705875</v>
          </cell>
          <cell r="AP43">
            <v>34.455825252352952</v>
          </cell>
          <cell r="AQ43">
            <v>-5.2075197517646998</v>
          </cell>
          <cell r="AR43">
            <v>19.39330330699347</v>
          </cell>
          <cell r="AS43">
            <v>21.702508179679143</v>
          </cell>
          <cell r="AT43">
            <v>-1.5028081851176474</v>
          </cell>
          <cell r="AU43">
            <v>-11.474843599052287</v>
          </cell>
          <cell r="AV43">
            <v>-17.630051085424832</v>
          </cell>
          <cell r="AW43">
            <v>35.294517505882354</v>
          </cell>
          <cell r="AX43">
            <v>3.7155082172549037</v>
          </cell>
          <cell r="AY43">
            <v>58.694569030000011</v>
          </cell>
          <cell r="AZ43">
            <v>84.830887631111125</v>
          </cell>
          <cell r="BA43">
            <v>112.94271934020203</v>
          </cell>
          <cell r="BB43">
            <v>123.85568644920204</v>
          </cell>
          <cell r="BC43">
            <v>134.84806520309093</v>
          </cell>
          <cell r="BD43">
            <v>147.21364823531314</v>
          </cell>
          <cell r="BE43">
            <v>197.20688103531313</v>
          </cell>
          <cell r="BF43">
            <v>229.74603278197981</v>
          </cell>
          <cell r="BG43">
            <v>258.60375747975758</v>
          </cell>
          <cell r="BH43">
            <v>29.446263529411763</v>
          </cell>
          <cell r="BI43">
            <v>36.189278823529406</v>
          </cell>
          <cell r="BJ43">
            <v>42.598602352941171</v>
          </cell>
          <cell r="BK43">
            <v>55.014377647058822</v>
          </cell>
          <cell r="BL43">
            <v>77.4816</v>
          </cell>
          <cell r="BM43">
            <v>107.47723411764706</v>
          </cell>
          <cell r="BN43">
            <v>122.17594941176471</v>
          </cell>
          <cell r="BO43">
            <v>150.99959294117647</v>
          </cell>
          <cell r="BP43">
            <v>179.82323647058823</v>
          </cell>
          <cell r="BQ43">
            <v>29.248305500588248</v>
          </cell>
          <cell r="BR43">
            <v>48.641608807581719</v>
          </cell>
          <cell r="BS43">
            <v>70.344116987260861</v>
          </cell>
          <cell r="BT43">
            <v>68.841308802143217</v>
          </cell>
          <cell r="BU43">
            <v>57.366465203090925</v>
          </cell>
          <cell r="BV43">
            <v>39.736414117666087</v>
          </cell>
          <cell r="BW43">
            <v>75.030931623548426</v>
          </cell>
          <cell r="BX43">
            <v>78.746439840803333</v>
          </cell>
          <cell r="BY43">
            <v>78.780521009169348</v>
          </cell>
          <cell r="BZ43">
            <v>7.5627120000000003</v>
          </cell>
          <cell r="CA43">
            <v>26.583966399999994</v>
          </cell>
          <cell r="CB43">
            <v>8.624015</v>
          </cell>
          <cell r="CC43">
            <v>84.830887631111125</v>
          </cell>
          <cell r="CD43">
            <v>42.770693399999992</v>
          </cell>
          <cell r="CE43">
            <v>42.060194231111133</v>
          </cell>
          <cell r="CF43">
            <v>98.338817745496598</v>
          </cell>
        </row>
        <row r="44">
          <cell r="Q44">
            <v>88.794304492456675</v>
          </cell>
          <cell r="R44">
            <v>69.46526348285667</v>
          </cell>
          <cell r="S44">
            <v>88.926155334596658</v>
          </cell>
          <cell r="T44">
            <v>69.192257778426679</v>
          </cell>
          <cell r="U44">
            <v>65.978195394926672</v>
          </cell>
          <cell r="V44">
            <v>49.032489002846667</v>
          </cell>
          <cell r="W44">
            <v>69.080242490126665</v>
          </cell>
          <cell r="X44">
            <v>75.191640607196675</v>
          </cell>
          <cell r="Y44">
            <v>83.105207962666668</v>
          </cell>
          <cell r="Z44">
            <v>70.429814024515423</v>
          </cell>
          <cell r="AA44">
            <v>852.01672203322869</v>
          </cell>
          <cell r="AE44">
            <v>38.313208441021359</v>
          </cell>
          <cell r="AF44">
            <v>90.841666666666669</v>
          </cell>
          <cell r="AG44">
            <v>83.541666666666657</v>
          </cell>
          <cell r="AH44">
            <v>65.886111111111077</v>
          </cell>
          <cell r="AI44">
            <v>78.986111111111086</v>
          </cell>
          <cell r="AJ44">
            <v>76.386111111111077</v>
          </cell>
          <cell r="AK44">
            <v>64.991800627195687</v>
          </cell>
          <cell r="AL44">
            <v>49.320392697125179</v>
          </cell>
          <cell r="AM44">
            <v>73.720392697125192</v>
          </cell>
          <cell r="AN44">
            <v>126.73001846642978</v>
          </cell>
          <cell r="AO44">
            <v>74.786111111111069</v>
          </cell>
          <cell r="AP44">
            <v>-3.7590416194746936</v>
          </cell>
          <cell r="AQ44">
            <v>-2.5746820255999978</v>
          </cell>
          <cell r="AR44">
            <v>5.2526378257900177</v>
          </cell>
          <cell r="AS44">
            <v>3.5791523717455931</v>
          </cell>
          <cell r="AT44">
            <v>9.9400442234855717</v>
          </cell>
          <cell r="AU44">
            <v>-7.1938533326843981</v>
          </cell>
          <cell r="AV44">
            <v>0.98639476773098522</v>
          </cell>
          <cell r="AW44">
            <v>-0.28790369427851203</v>
          </cell>
          <cell r="AX44">
            <v>-4.640150206998527</v>
          </cell>
          <cell r="AY44">
            <v>122.82115146261334</v>
          </cell>
          <cell r="AZ44">
            <v>211.61545595507002</v>
          </cell>
          <cell r="BA44">
            <v>281.08071943792669</v>
          </cell>
          <cell r="BB44">
            <v>370.00687477252336</v>
          </cell>
          <cell r="BC44">
            <v>439.19913255095003</v>
          </cell>
          <cell r="BD44">
            <v>505.1773279458767</v>
          </cell>
          <cell r="BE44">
            <v>554.20981694872341</v>
          </cell>
          <cell r="BF44">
            <v>623.29005943884999</v>
          </cell>
          <cell r="BG44">
            <v>698.48170004604663</v>
          </cell>
          <cell r="BH44">
            <v>129.15487510768804</v>
          </cell>
          <cell r="BI44">
            <v>212.6965417743547</v>
          </cell>
          <cell r="BJ44">
            <v>278.58265288546579</v>
          </cell>
          <cell r="BK44">
            <v>357.56876399657688</v>
          </cell>
          <cell r="BL44">
            <v>433.95487510768794</v>
          </cell>
          <cell r="BM44">
            <v>498.94667573488363</v>
          </cell>
          <cell r="BN44">
            <v>548.26706843200884</v>
          </cell>
          <cell r="BO44">
            <v>621.98746112913409</v>
          </cell>
          <cell r="BP44">
            <v>748.71747959556387</v>
          </cell>
          <cell r="BQ44">
            <v>-6.3337236450746959</v>
          </cell>
          <cell r="BR44">
            <v>-1.0810858192846786</v>
          </cell>
          <cell r="BS44">
            <v>2.498066552460906</v>
          </cell>
          <cell r="BT44">
            <v>12.438110775946482</v>
          </cell>
          <cell r="BU44">
            <v>5.2442574432620646</v>
          </cell>
          <cell r="BV44">
            <v>6.2306522109930658</v>
          </cell>
          <cell r="BW44">
            <v>5.9427485167145733</v>
          </cell>
          <cell r="BX44">
            <v>1.3025983097159042</v>
          </cell>
          <cell r="BY44">
            <v>-50.235779549517247</v>
          </cell>
          <cell r="BZ44">
            <v>15.266999999999999</v>
          </cell>
          <cell r="CA44">
            <v>71.502245000000002</v>
          </cell>
          <cell r="CB44">
            <v>79.853999999999999</v>
          </cell>
          <cell r="CC44">
            <v>211.61545595507002</v>
          </cell>
          <cell r="CD44">
            <v>166.623245</v>
          </cell>
          <cell r="CE44">
            <v>44.992210955070021</v>
          </cell>
          <cell r="CF44">
            <v>27.002361498283168</v>
          </cell>
        </row>
        <row r="45">
          <cell r="G45" t="str">
            <v xml:space="preserve">  Pagos Tesorería</v>
          </cell>
          <cell r="L45">
            <v>788.57572886869968</v>
          </cell>
          <cell r="N45">
            <v>788.57572886869968</v>
          </cell>
          <cell r="O45">
            <v>33.485464796666669</v>
          </cell>
          <cell r="P45">
            <v>88.228597405366671</v>
          </cell>
          <cell r="Q45">
            <v>87.873993407506674</v>
          </cell>
          <cell r="R45">
            <v>69.338785109096676</v>
          </cell>
          <cell r="S45">
            <v>88.053497958206663</v>
          </cell>
          <cell r="T45">
            <v>68.571828354016674</v>
          </cell>
          <cell r="U45">
            <v>62.220111285406666</v>
          </cell>
          <cell r="V45">
            <v>48.592906006636667</v>
          </cell>
          <cell r="W45">
            <v>68.960692307966667</v>
          </cell>
          <cell r="X45">
            <v>75.109252106666673</v>
          </cell>
          <cell r="Y45">
            <v>82.925245816666674</v>
          </cell>
          <cell r="Z45">
            <v>70.429814024515423</v>
          </cell>
          <cell r="AA45">
            <v>843.7901885787187</v>
          </cell>
          <cell r="AB45">
            <v>0.73276896077711551</v>
          </cell>
          <cell r="AC45" t="str">
            <v/>
          </cell>
          <cell r="AD45">
            <v>0.73276896077711551</v>
          </cell>
          <cell r="AE45">
            <v>38.313208441021359</v>
          </cell>
          <cell r="AF45">
            <v>90.841666666666669</v>
          </cell>
          <cell r="AG45">
            <v>83.541666666666657</v>
          </cell>
          <cell r="AH45">
            <v>65.886111111111077</v>
          </cell>
          <cell r="AI45">
            <v>78.986111111111086</v>
          </cell>
          <cell r="AJ45">
            <v>76.386111111111077</v>
          </cell>
          <cell r="AK45">
            <v>56.38611111111107</v>
          </cell>
          <cell r="AL45">
            <v>47.88611111111107</v>
          </cell>
          <cell r="AM45">
            <v>72.286111111111083</v>
          </cell>
          <cell r="AN45">
            <v>58.88611111111107</v>
          </cell>
          <cell r="AO45">
            <v>74.786111111111069</v>
          </cell>
          <cell r="AP45">
            <v>-4.8277436443546904</v>
          </cell>
          <cell r="AQ45">
            <v>-2.6130692612999979</v>
          </cell>
          <cell r="AR45">
            <v>4.332326740840017</v>
          </cell>
          <cell r="AS45">
            <v>3.4526739979855989</v>
          </cell>
          <cell r="AT45">
            <v>9.0673868470955767</v>
          </cell>
          <cell r="AU45">
            <v>-7.8142827570944036</v>
          </cell>
          <cell r="AV45">
            <v>5.8340001742955963</v>
          </cell>
          <cell r="AW45">
            <v>0.70679489552559716</v>
          </cell>
          <cell r="AX45">
            <v>-3.3254188031444158</v>
          </cell>
          <cell r="AY45">
            <v>121.71406220203335</v>
          </cell>
          <cell r="AZ45">
            <v>209.58805560954002</v>
          </cell>
          <cell r="BA45">
            <v>278.9268407186367</v>
          </cell>
          <cell r="BB45">
            <v>366.98033867684336</v>
          </cell>
          <cell r="BC45">
            <v>435.55216703086001</v>
          </cell>
          <cell r="BD45">
            <v>497.77227831626669</v>
          </cell>
          <cell r="BE45">
            <v>546.36518432290336</v>
          </cell>
          <cell r="BF45">
            <v>615.32587663086997</v>
          </cell>
          <cell r="BG45">
            <v>690.43512873753662</v>
          </cell>
          <cell r="BH45">
            <v>129.15487510768804</v>
          </cell>
          <cell r="BI45">
            <v>212.6965417743547</v>
          </cell>
          <cell r="BJ45">
            <v>278.58265288546579</v>
          </cell>
          <cell r="BK45">
            <v>357.56876399657688</v>
          </cell>
          <cell r="BL45">
            <v>433.95487510768794</v>
          </cell>
          <cell r="BM45">
            <v>490.340986218799</v>
          </cell>
          <cell r="BN45">
            <v>538.22709732991007</v>
          </cell>
          <cell r="BO45">
            <v>610.51320844102111</v>
          </cell>
          <cell r="BP45">
            <v>669.39931955213217</v>
          </cell>
          <cell r="BQ45">
            <v>-7.4408129056546954</v>
          </cell>
          <cell r="BR45">
            <v>-3.1084861648146784</v>
          </cell>
          <cell r="BS45">
            <v>0.34418783317090629</v>
          </cell>
          <cell r="BT45">
            <v>9.411574680266483</v>
          </cell>
          <cell r="BU45">
            <v>1.5972919231720653</v>
          </cell>
          <cell r="BV45">
            <v>7.4312920974676899</v>
          </cell>
          <cell r="BW45">
            <v>8.1380869929932942</v>
          </cell>
          <cell r="BX45">
            <v>4.8126681898488641</v>
          </cell>
          <cell r="BY45">
            <v>21.035809185404446</v>
          </cell>
          <cell r="BZ45">
            <v>15.266999999999999</v>
          </cell>
          <cell r="CA45">
            <v>69.202245000000005</v>
          </cell>
          <cell r="CB45">
            <v>77.554000000000002</v>
          </cell>
          <cell r="CC45">
            <v>209.58805560954002</v>
          </cell>
          <cell r="CD45">
            <v>162.023245</v>
          </cell>
          <cell r="CE45">
            <v>47.564810609540018</v>
          </cell>
          <cell r="CF45">
            <v>29.356781867651161</v>
          </cell>
        </row>
        <row r="46">
          <cell r="G46" t="str">
            <v xml:space="preserve">  Otros Pagos</v>
          </cell>
          <cell r="L46">
            <v>1.79539</v>
          </cell>
          <cell r="N46">
            <v>1.79539</v>
          </cell>
          <cell r="O46">
            <v>1.0687020248799999</v>
          </cell>
          <cell r="P46">
            <v>3.8387235699999994E-2</v>
          </cell>
          <cell r="Q46">
            <v>0.92031108495000002</v>
          </cell>
          <cell r="R46">
            <v>0.12647837375999998</v>
          </cell>
          <cell r="S46">
            <v>0.87265737638999985</v>
          </cell>
          <cell r="T46">
            <v>0.62042942440999915</v>
          </cell>
          <cell r="U46">
            <v>3.7580841095200004</v>
          </cell>
          <cell r="V46">
            <v>0.43958299621000002</v>
          </cell>
          <cell r="W46">
            <v>0.11955018215999999</v>
          </cell>
          <cell r="X46">
            <v>8.2388500529999992E-2</v>
          </cell>
          <cell r="Y46">
            <v>0.17996214599999999</v>
          </cell>
          <cell r="Z46">
            <v>0</v>
          </cell>
          <cell r="AA46">
            <v>8.2265334545099993</v>
          </cell>
          <cell r="AB46">
            <v>1.6683319259356486E-3</v>
          </cell>
          <cell r="AC46" t="str">
            <v/>
          </cell>
          <cell r="AD46">
            <v>1.6683319259356486E-3</v>
          </cell>
          <cell r="AE46">
            <v>0</v>
          </cell>
          <cell r="AF46">
            <v>0</v>
          </cell>
          <cell r="AG46">
            <v>0</v>
          </cell>
          <cell r="AH46">
            <v>0</v>
          </cell>
          <cell r="AI46">
            <v>0</v>
          </cell>
          <cell r="AJ46">
            <v>0</v>
          </cell>
          <cell r="AK46">
            <v>8.6056895160846238</v>
          </cell>
          <cell r="AL46">
            <v>1.4342815860141087</v>
          </cell>
          <cell r="AM46">
            <v>1.4342815860141087</v>
          </cell>
          <cell r="AN46">
            <v>67.84390735531872</v>
          </cell>
          <cell r="AO46">
            <v>0</v>
          </cell>
          <cell r="AP46">
            <v>1.0687020248799999</v>
          </cell>
          <cell r="AQ46">
            <v>3.8387235699999994E-2</v>
          </cell>
          <cell r="AR46">
            <v>0.92031108495000002</v>
          </cell>
          <cell r="AS46">
            <v>0.12647837375999998</v>
          </cell>
          <cell r="AT46">
            <v>0.87265737638999985</v>
          </cell>
          <cell r="AU46">
            <v>0.62042942440999915</v>
          </cell>
          <cell r="AV46">
            <v>-4.8476054065646235</v>
          </cell>
          <cell r="AW46">
            <v>-0.99469858980410875</v>
          </cell>
          <cell r="AX46">
            <v>-1.3147314038541087</v>
          </cell>
          <cell r="AY46">
            <v>1.1070892605799998</v>
          </cell>
          <cell r="AZ46">
            <v>2.0274003455299998</v>
          </cell>
          <cell r="BA46">
            <v>2.1538787192899997</v>
          </cell>
          <cell r="BB46">
            <v>3.0265360956799996</v>
          </cell>
          <cell r="BC46">
            <v>3.6469655200899989</v>
          </cell>
          <cell r="BD46">
            <v>7.4050496296099997</v>
          </cell>
          <cell r="BE46">
            <v>7.8446326258200001</v>
          </cell>
          <cell r="BF46">
            <v>7.9641828079800003</v>
          </cell>
          <cell r="BG46">
            <v>8.0465713085099999</v>
          </cell>
          <cell r="BH46">
            <v>0</v>
          </cell>
          <cell r="BI46">
            <v>0</v>
          </cell>
          <cell r="BJ46">
            <v>0</v>
          </cell>
          <cell r="BK46">
            <v>0</v>
          </cell>
          <cell r="BL46">
            <v>0</v>
          </cell>
          <cell r="BM46">
            <v>8.6056895160846238</v>
          </cell>
          <cell r="BN46">
            <v>10.039971102098733</v>
          </cell>
          <cell r="BO46">
            <v>11.474252688112841</v>
          </cell>
          <cell r="BP46">
            <v>79.318160043431561</v>
          </cell>
          <cell r="BQ46">
            <v>1.1070892605799998</v>
          </cell>
          <cell r="BR46">
            <v>2.0274003455299998</v>
          </cell>
          <cell r="BS46">
            <v>2.1538787192899997</v>
          </cell>
          <cell r="BT46">
            <v>3.0265360956799996</v>
          </cell>
          <cell r="BU46">
            <v>3.6469655200899989</v>
          </cell>
          <cell r="BV46">
            <v>-1.2006398864746242</v>
          </cell>
          <cell r="BW46">
            <v>-2.1953384762787325</v>
          </cell>
          <cell r="BX46">
            <v>-3.5100698801328409</v>
          </cell>
          <cell r="BY46">
            <v>-71.271588734921565</v>
          </cell>
          <cell r="BZ46">
            <v>0</v>
          </cell>
          <cell r="CA46">
            <v>2.2999999999999998</v>
          </cell>
          <cell r="CB46">
            <v>2.2999999999999998</v>
          </cell>
          <cell r="CC46">
            <v>2.0274003455299998</v>
          </cell>
          <cell r="CD46">
            <v>4.5999999999999996</v>
          </cell>
          <cell r="CE46">
            <v>-2.5725996544699998</v>
          </cell>
          <cell r="CF46">
            <v>-55.926079444999999</v>
          </cell>
        </row>
        <row r="47">
          <cell r="L47">
            <v>9660.4221979685062</v>
          </cell>
          <cell r="M47">
            <v>0</v>
          </cell>
          <cell r="N47">
            <v>9660.4221979685062</v>
          </cell>
          <cell r="Q47">
            <v>923.96580722227884</v>
          </cell>
          <cell r="R47">
            <v>763.58122574437368</v>
          </cell>
          <cell r="S47">
            <v>975.20912274727209</v>
          </cell>
          <cell r="T47">
            <v>673.95333738251657</v>
          </cell>
          <cell r="U47">
            <v>954.34877725981562</v>
          </cell>
          <cell r="V47">
            <v>624.04591935441329</v>
          </cell>
          <cell r="W47">
            <v>924.38620619599646</v>
          </cell>
          <cell r="X47">
            <v>604.07122599028889</v>
          </cell>
          <cell r="Y47">
            <v>875.46711142210006</v>
          </cell>
          <cell r="Z47">
            <v>567.78305003000003</v>
          </cell>
          <cell r="AA47">
            <v>9233.943859756786</v>
          </cell>
          <cell r="AB47">
            <v>8.9767631383088275</v>
          </cell>
          <cell r="AC47" t="str">
            <v/>
          </cell>
          <cell r="AD47">
            <v>8.9767631383088275</v>
          </cell>
          <cell r="AE47">
            <v>754.70208650035579</v>
          </cell>
          <cell r="AF47">
            <v>537.02413122669725</v>
          </cell>
          <cell r="AG47">
            <v>1017.4232800952977</v>
          </cell>
          <cell r="AH47">
            <v>806.81766652053375</v>
          </cell>
          <cell r="AI47">
            <v>868.54516029559363</v>
          </cell>
          <cell r="AJ47">
            <v>653.29117664756075</v>
          </cell>
          <cell r="AK47">
            <v>930.97944513804737</v>
          </cell>
          <cell r="AL47">
            <v>702.19909841316269</v>
          </cell>
          <cell r="AM47">
            <v>949.55362455165141</v>
          </cell>
          <cell r="AN47">
            <v>610.60299050579613</v>
          </cell>
          <cell r="AO47">
            <v>905.19843857684236</v>
          </cell>
          <cell r="AP47">
            <v>15.338831711977491</v>
          </cell>
          <cell r="AQ47">
            <v>40.067026968700247</v>
          </cell>
          <cell r="AR47">
            <v>-93.457472873018901</v>
          </cell>
          <cell r="AS47">
            <v>-43.236440776160066</v>
          </cell>
          <cell r="AT47">
            <v>106.66396245167846</v>
          </cell>
          <cell r="AU47">
            <v>20.662160734955819</v>
          </cell>
          <cell r="AV47">
            <v>23.369332121768252</v>
          </cell>
          <cell r="AW47">
            <v>-78.153179058749402</v>
          </cell>
          <cell r="AX47">
            <v>-25.167418355654945</v>
          </cell>
          <cell r="AY47">
            <v>1347.1320764077307</v>
          </cell>
          <cell r="AZ47">
            <v>2271.0978836300092</v>
          </cell>
          <cell r="BA47">
            <v>3034.6791093743832</v>
          </cell>
          <cell r="BB47">
            <v>4009.8882321216556</v>
          </cell>
          <cell r="BC47">
            <v>4683.8415695041722</v>
          </cell>
          <cell r="BD47">
            <v>5638.1903467639886</v>
          </cell>
          <cell r="BE47">
            <v>6262.2362661184015</v>
          </cell>
          <cell r="BF47">
            <v>7186.6224723143978</v>
          </cell>
          <cell r="BG47">
            <v>7790.6936983046862</v>
          </cell>
          <cell r="BH47">
            <v>1291.7262177270529</v>
          </cell>
          <cell r="BI47">
            <v>2309.1494978223504</v>
          </cell>
          <cell r="BJ47">
            <v>3115.9671643428842</v>
          </cell>
          <cell r="BK47">
            <v>3984.5123246384778</v>
          </cell>
          <cell r="BL47">
            <v>4637.8035012860391</v>
          </cell>
          <cell r="BM47">
            <v>5568.7829464240858</v>
          </cell>
          <cell r="BN47">
            <v>6270.9820448372493</v>
          </cell>
          <cell r="BO47">
            <v>7220.5356693889007</v>
          </cell>
          <cell r="BP47">
            <v>7831.1386598946965</v>
          </cell>
          <cell r="BQ47">
            <v>55.405858680677731</v>
          </cell>
          <cell r="BR47">
            <v>-38.05161419234107</v>
          </cell>
          <cell r="BS47">
            <v>-81.288054968501086</v>
          </cell>
          <cell r="BT47">
            <v>25.375907483177507</v>
          </cell>
          <cell r="BU47">
            <v>46.038068218133375</v>
          </cell>
          <cell r="BV47">
            <v>69.407400339902168</v>
          </cell>
          <cell r="BW47">
            <v>-8.7457787188477596</v>
          </cell>
          <cell r="BX47">
            <v>-33.913197074502932</v>
          </cell>
          <cell r="BY47">
            <v>-40.44496159001028</v>
          </cell>
          <cell r="BZ47">
            <v>622.42567999999994</v>
          </cell>
          <cell r="CA47">
            <v>428.39404019999995</v>
          </cell>
          <cell r="CB47">
            <v>757.51776449999988</v>
          </cell>
          <cell r="CC47">
            <v>2271.0978836300092</v>
          </cell>
          <cell r="CD47">
            <v>1808.3374846999998</v>
          </cell>
          <cell r="CE47">
            <v>462.76039893000939</v>
          </cell>
          <cell r="CF47">
            <v>25.590378059700548</v>
          </cell>
        </row>
        <row r="48">
          <cell r="G48" t="str">
            <v>Pagos de Tesorería</v>
          </cell>
          <cell r="L48">
            <v>9136.2682832986175</v>
          </cell>
          <cell r="N48">
            <v>9136.2682832986175</v>
          </cell>
          <cell r="O48">
            <v>758.2664752733333</v>
          </cell>
          <cell r="P48">
            <v>522.75099553439748</v>
          </cell>
          <cell r="Q48">
            <v>911.1945479559455</v>
          </cell>
          <cell r="R48">
            <v>754.83617747001006</v>
          </cell>
          <cell r="S48">
            <v>949.13048394929172</v>
          </cell>
          <cell r="T48">
            <v>631.98930914062771</v>
          </cell>
          <cell r="U48">
            <v>913.35740327059341</v>
          </cell>
          <cell r="V48">
            <v>568.97598091274665</v>
          </cell>
          <cell r="W48">
            <v>891.62743001266313</v>
          </cell>
          <cell r="X48">
            <v>570.29130542851112</v>
          </cell>
          <cell r="Y48">
            <v>847.50924078176672</v>
          </cell>
          <cell r="Z48">
            <v>544.375</v>
          </cell>
          <cell r="AA48">
            <v>8864.3043497298877</v>
          </cell>
          <cell r="AB48">
            <v>8.4897031068126498</v>
          </cell>
          <cell r="AC48" t="str">
            <v/>
          </cell>
          <cell r="AD48">
            <v>8.4897031068126498</v>
          </cell>
          <cell r="AE48">
            <v>751.96380764877688</v>
          </cell>
          <cell r="AF48">
            <v>497.77500000000003</v>
          </cell>
          <cell r="AG48">
            <v>1008.3259613790808</v>
          </cell>
          <cell r="AH48">
            <v>790.63245898688047</v>
          </cell>
          <cell r="AI48">
            <v>855.45331935734202</v>
          </cell>
          <cell r="AJ48">
            <v>580.51847838184017</v>
          </cell>
          <cell r="AK48">
            <v>906.4337875980093</v>
          </cell>
          <cell r="AL48">
            <v>560.89451486390112</v>
          </cell>
          <cell r="AM48">
            <v>880.88325931616509</v>
          </cell>
          <cell r="AN48">
            <v>574.82120418614329</v>
          </cell>
          <cell r="AO48">
            <v>862.19109527811634</v>
          </cell>
          <cell r="AP48">
            <v>6.3026676245564204</v>
          </cell>
          <cell r="AQ48">
            <v>24.975995534397441</v>
          </cell>
          <cell r="AR48">
            <v>-97.131413423135314</v>
          </cell>
          <cell r="AS48">
            <v>-35.796281516870408</v>
          </cell>
          <cell r="AT48">
            <v>93.67716459194969</v>
          </cell>
          <cell r="AU48">
            <v>51.470830758787542</v>
          </cell>
          <cell r="AV48">
            <v>6.9236156725841056</v>
          </cell>
          <cell r="AW48">
            <v>8.0814660488455274</v>
          </cell>
          <cell r="AX48">
            <v>10.744170696498031</v>
          </cell>
          <cell r="AY48">
            <v>1281.0174708077307</v>
          </cell>
          <cell r="AZ48">
            <v>2192.212018763676</v>
          </cell>
          <cell r="BA48">
            <v>2947.0481962336862</v>
          </cell>
          <cell r="BB48">
            <v>3896.178680182978</v>
          </cell>
          <cell r="BC48">
            <v>4528.167989323606</v>
          </cell>
          <cell r="BD48">
            <v>5441.5253925941997</v>
          </cell>
          <cell r="BE48">
            <v>6010.501373506946</v>
          </cell>
          <cell r="BF48">
            <v>6902.1288035196094</v>
          </cell>
          <cell r="BG48">
            <v>7472.4201089481203</v>
          </cell>
          <cell r="BH48">
            <v>1249.7388076487769</v>
          </cell>
          <cell r="BI48">
            <v>2258.0647690278574</v>
          </cell>
          <cell r="BJ48">
            <v>3048.6972280147379</v>
          </cell>
          <cell r="BK48">
            <v>3904.1505473720799</v>
          </cell>
          <cell r="BL48">
            <v>4484.6690257539203</v>
          </cell>
          <cell r="BM48">
            <v>5391.1028133519294</v>
          </cell>
          <cell r="BN48">
            <v>5951.9973282158307</v>
          </cell>
          <cell r="BO48">
            <v>6832.8805875319958</v>
          </cell>
          <cell r="BP48">
            <v>7407.7017917181392</v>
          </cell>
          <cell r="BQ48">
            <v>31.278663158953805</v>
          </cell>
          <cell r="BR48">
            <v>-65.852750264181395</v>
          </cell>
          <cell r="BS48">
            <v>-101.64903178105169</v>
          </cell>
          <cell r="BT48">
            <v>-7.9718671891018857</v>
          </cell>
          <cell r="BU48">
            <v>43.498963569685657</v>
          </cell>
          <cell r="BV48">
            <v>50.422579242270331</v>
          </cell>
          <cell r="BW48">
            <v>58.50404529111529</v>
          </cell>
          <cell r="BX48">
            <v>69.248215987613548</v>
          </cell>
          <cell r="BY48">
            <v>64.718317229981039</v>
          </cell>
          <cell r="BZ48">
            <v>615.19398000000001</v>
          </cell>
          <cell r="CA48">
            <v>400.79887673999997</v>
          </cell>
          <cell r="CB48">
            <v>724.87496499999986</v>
          </cell>
          <cell r="CC48">
            <v>2192.212018763676</v>
          </cell>
          <cell r="CD48">
            <v>1740.8678217399997</v>
          </cell>
          <cell r="CE48">
            <v>451.34419702367632</v>
          </cell>
          <cell r="CF48">
            <v>25.926390929126207</v>
          </cell>
        </row>
        <row r="49">
          <cell r="G49" t="str">
            <v>Más Transferencias de Inversión</v>
          </cell>
          <cell r="L49">
            <v>346.29999999999995</v>
          </cell>
          <cell r="M49">
            <v>0</v>
          </cell>
          <cell r="N49">
            <v>346.29999999999995</v>
          </cell>
          <cell r="O49">
            <v>11.120173399999999</v>
          </cell>
          <cell r="P49">
            <v>29.652177999999999</v>
          </cell>
          <cell r="Q49">
            <v>10.730986</v>
          </cell>
          <cell r="R49">
            <v>5.4240189999999995</v>
          </cell>
          <cell r="S49">
            <v>14.851702899999999</v>
          </cell>
          <cell r="T49">
            <v>13.2781456</v>
          </cell>
          <cell r="U49">
            <v>40.577399999999997</v>
          </cell>
          <cell r="V49">
            <v>20.845372000000001</v>
          </cell>
          <cell r="W49">
            <v>31.52</v>
          </cell>
          <cell r="X49">
            <v>31.52</v>
          </cell>
          <cell r="Y49">
            <v>15.52</v>
          </cell>
          <cell r="Z49">
            <v>10.82</v>
          </cell>
          <cell r="AA49">
            <v>235.85997690000002</v>
          </cell>
          <cell r="AB49">
            <v>0.32179267231716502</v>
          </cell>
          <cell r="AC49" t="str">
            <v/>
          </cell>
          <cell r="AD49">
            <v>0.32179267231716502</v>
          </cell>
          <cell r="AE49">
            <v>0</v>
          </cell>
          <cell r="AF49">
            <v>1.4073423994790084</v>
          </cell>
          <cell r="AG49">
            <v>8.4886565217673784</v>
          </cell>
          <cell r="AH49">
            <v>13.209656852907692</v>
          </cell>
          <cell r="AI49">
            <v>1.1169049332947674</v>
          </cell>
          <cell r="AJ49">
            <v>26.974367510777135</v>
          </cell>
          <cell r="AK49">
            <v>23.559686270522533</v>
          </cell>
          <cell r="AL49">
            <v>99.783051730031275</v>
          </cell>
          <cell r="AM49">
            <v>67.327521146702423</v>
          </cell>
          <cell r="AN49">
            <v>33.373038673950695</v>
          </cell>
          <cell r="AO49">
            <v>35.530150621440647</v>
          </cell>
          <cell r="AP49">
            <v>11.120173399999999</v>
          </cell>
          <cell r="AQ49">
            <v>28.24483560052099</v>
          </cell>
          <cell r="AR49">
            <v>2.2423294782326213</v>
          </cell>
          <cell r="AS49">
            <v>-7.7856378529076924</v>
          </cell>
          <cell r="AT49">
            <v>13.734797966705232</v>
          </cell>
          <cell r="AU49">
            <v>-13.696221910777135</v>
          </cell>
          <cell r="AV49">
            <v>17.017713729477464</v>
          </cell>
          <cell r="AW49">
            <v>-78.937679730031277</v>
          </cell>
          <cell r="AX49">
            <v>-35.807521146702427</v>
          </cell>
          <cell r="AY49">
            <v>40.772351400000005</v>
          </cell>
          <cell r="AZ49">
            <v>51.503337399999999</v>
          </cell>
          <cell r="BA49">
            <v>56.927356400000001</v>
          </cell>
          <cell r="BB49">
            <v>71.7790593</v>
          </cell>
          <cell r="BC49">
            <v>85.057204900000002</v>
          </cell>
          <cell r="BD49">
            <v>125.6346049</v>
          </cell>
          <cell r="BE49">
            <v>146.4799769</v>
          </cell>
          <cell r="BF49">
            <v>177.99997689999998</v>
          </cell>
          <cell r="BG49">
            <v>209.51997689999999</v>
          </cell>
          <cell r="BH49">
            <v>1.4073423994790084</v>
          </cell>
          <cell r="BI49">
            <v>9.8959989212463881</v>
          </cell>
          <cell r="BJ49">
            <v>23.10565577415408</v>
          </cell>
          <cell r="BK49">
            <v>24.222560707448849</v>
          </cell>
          <cell r="BL49">
            <v>51.196928218225978</v>
          </cell>
          <cell r="BM49">
            <v>74.756614488748511</v>
          </cell>
          <cell r="BN49">
            <v>174.53966621877979</v>
          </cell>
          <cell r="BO49">
            <v>241.86718736548221</v>
          </cell>
          <cell r="BP49">
            <v>275.24022603943291</v>
          </cell>
          <cell r="BQ49">
            <v>39.365009000520992</v>
          </cell>
          <cell r="BR49">
            <v>41.607338478753611</v>
          </cell>
          <cell r="BS49">
            <v>33.821700625845921</v>
          </cell>
          <cell r="BT49">
            <v>47.556498592551151</v>
          </cell>
          <cell r="BU49">
            <v>33.860276681774018</v>
          </cell>
          <cell r="BV49">
            <v>50.877990411251474</v>
          </cell>
          <cell r="BW49">
            <v>-28.059689318779789</v>
          </cell>
          <cell r="BX49">
            <v>-63.867210465482231</v>
          </cell>
          <cell r="BY49">
            <v>-65.720249139432923</v>
          </cell>
          <cell r="BZ49">
            <v>5.0979999999999999</v>
          </cell>
          <cell r="CA49">
            <v>1.7290000000000001</v>
          </cell>
          <cell r="CB49">
            <v>32.038000000000004</v>
          </cell>
          <cell r="CC49">
            <v>51.503337399999999</v>
          </cell>
          <cell r="CD49">
            <v>38.865000000000002</v>
          </cell>
          <cell r="CE49">
            <v>12.638337399999998</v>
          </cell>
          <cell r="CF49">
            <v>32.518557571079377</v>
          </cell>
        </row>
        <row r="50">
          <cell r="H50" t="str">
            <v>Subsidio Tarifas Eléctricas</v>
          </cell>
          <cell r="L50">
            <v>97.1</v>
          </cell>
          <cell r="N50">
            <v>97.1</v>
          </cell>
          <cell r="O50">
            <v>0</v>
          </cell>
          <cell r="P50">
            <v>0</v>
          </cell>
          <cell r="Q50">
            <v>0</v>
          </cell>
          <cell r="R50">
            <v>0</v>
          </cell>
          <cell r="S50">
            <v>0</v>
          </cell>
          <cell r="T50">
            <v>0</v>
          </cell>
          <cell r="U50">
            <v>27</v>
          </cell>
          <cell r="V50">
            <v>10.054</v>
          </cell>
          <cell r="W50">
            <v>27</v>
          </cell>
          <cell r="X50">
            <v>27</v>
          </cell>
          <cell r="Y50">
            <v>6</v>
          </cell>
          <cell r="Z50">
            <v>0</v>
          </cell>
          <cell r="AA50">
            <v>97.054000000000002</v>
          </cell>
          <cell r="AB50">
            <v>9.0228323655780332E-2</v>
          </cell>
          <cell r="AC50" t="str">
            <v/>
          </cell>
          <cell r="AD50">
            <v>9.0228323655780332E-2</v>
          </cell>
          <cell r="AE50">
            <v>0</v>
          </cell>
          <cell r="AF50">
            <v>1.398905882451426</v>
          </cell>
          <cell r="AG50">
            <v>8.3462902969269273</v>
          </cell>
          <cell r="AH50">
            <v>0.29018558979381703</v>
          </cell>
          <cell r="AI50">
            <v>0.1804515432331299</v>
          </cell>
          <cell r="AJ50">
            <v>26.186607733326635</v>
          </cell>
          <cell r="AK50">
            <v>7.3156031040458071E-3</v>
          </cell>
          <cell r="AL50">
            <v>26.010220414040198</v>
          </cell>
          <cell r="AM50">
            <v>34.680022937123816</v>
          </cell>
          <cell r="AN50">
            <v>0</v>
          </cell>
          <cell r="AO50">
            <v>0</v>
          </cell>
          <cell r="AP50">
            <v>0</v>
          </cell>
          <cell r="AQ50">
            <v>-1.398905882451426</v>
          </cell>
          <cell r="AR50">
            <v>-8.3462902969269273</v>
          </cell>
          <cell r="AS50">
            <v>-0.29018558979381703</v>
          </cell>
          <cell r="AT50">
            <v>-0.1804515432331299</v>
          </cell>
          <cell r="AU50">
            <v>-26.186607733326635</v>
          </cell>
          <cell r="AV50">
            <v>26.992684396895953</v>
          </cell>
          <cell r="AW50">
            <v>-15.956220414040198</v>
          </cell>
          <cell r="AX50">
            <v>-7.680022937123816</v>
          </cell>
          <cell r="AY50">
            <v>0</v>
          </cell>
          <cell r="AZ50">
            <v>0</v>
          </cell>
          <cell r="BA50">
            <v>0</v>
          </cell>
          <cell r="BB50">
            <v>0</v>
          </cell>
          <cell r="BC50">
            <v>0</v>
          </cell>
          <cell r="BD50">
            <v>27</v>
          </cell>
          <cell r="BE50">
            <v>37.054000000000002</v>
          </cell>
          <cell r="BF50">
            <v>64.054000000000002</v>
          </cell>
          <cell r="BG50">
            <v>91.054000000000002</v>
          </cell>
          <cell r="BH50">
            <v>1.398905882451426</v>
          </cell>
          <cell r="BI50">
            <v>9.7451961793783539</v>
          </cell>
          <cell r="BJ50">
            <v>10.035381769172171</v>
          </cell>
          <cell r="BK50">
            <v>10.2158333124053</v>
          </cell>
          <cell r="BL50">
            <v>36.402441045731933</v>
          </cell>
          <cell r="BM50">
            <v>36.40975664883598</v>
          </cell>
          <cell r="BN50">
            <v>62.419977062876178</v>
          </cell>
          <cell r="BO50">
            <v>97.1</v>
          </cell>
          <cell r="BP50">
            <v>97.1</v>
          </cell>
          <cell r="BQ50">
            <v>-1.398905882451426</v>
          </cell>
          <cell r="BR50">
            <v>-9.7451961793783539</v>
          </cell>
          <cell r="BS50">
            <v>-10.035381769172171</v>
          </cell>
          <cell r="BT50">
            <v>-10.2158333124053</v>
          </cell>
          <cell r="BU50">
            <v>-36.402441045731933</v>
          </cell>
          <cell r="BV50">
            <v>-9.4097566488359803</v>
          </cell>
          <cell r="BW50">
            <v>-25.365977062876176</v>
          </cell>
          <cell r="BX50">
            <v>-33.045999999999992</v>
          </cell>
          <cell r="BY50">
            <v>-6.0459999999999923</v>
          </cell>
          <cell r="BZ50">
            <v>0</v>
          </cell>
          <cell r="CA50">
            <v>1.7210000000000001</v>
          </cell>
          <cell r="CB50">
            <v>10.268000000000001</v>
          </cell>
          <cell r="CC50">
            <v>0</v>
          </cell>
          <cell r="CD50">
            <v>11.989000000000001</v>
          </cell>
          <cell r="CE50">
            <v>-11.989000000000001</v>
          </cell>
          <cell r="CF50">
            <v>-100</v>
          </cell>
        </row>
        <row r="51">
          <cell r="H51" t="str">
            <v>Fosga</v>
          </cell>
          <cell r="L51">
            <v>0</v>
          </cell>
          <cell r="N51">
            <v>0</v>
          </cell>
          <cell r="O51">
            <v>0</v>
          </cell>
          <cell r="P51">
            <v>12.5</v>
          </cell>
          <cell r="Q51">
            <v>3.8</v>
          </cell>
          <cell r="R51">
            <v>4.87</v>
          </cell>
          <cell r="S51">
            <v>5.7</v>
          </cell>
          <cell r="T51">
            <v>7.2160000000000002</v>
          </cell>
          <cell r="U51">
            <v>4.5199999999999996</v>
          </cell>
          <cell r="V51">
            <v>3</v>
          </cell>
          <cell r="W51">
            <v>4.5199999999999996</v>
          </cell>
          <cell r="X51">
            <v>4.5199999999999996</v>
          </cell>
          <cell r="Y51">
            <v>9.52</v>
          </cell>
          <cell r="Z51">
            <v>10.82</v>
          </cell>
          <cell r="AA51">
            <v>70.98599999999999</v>
          </cell>
          <cell r="AB51" t="str">
            <v/>
          </cell>
          <cell r="AC51" t="str">
            <v/>
          </cell>
          <cell r="AD51" t="str">
            <v/>
          </cell>
          <cell r="AE51">
            <v>0</v>
          </cell>
          <cell r="AF51">
            <v>0</v>
          </cell>
          <cell r="AG51">
            <v>0</v>
          </cell>
          <cell r="AH51">
            <v>0</v>
          </cell>
          <cell r="AI51">
            <v>0</v>
          </cell>
          <cell r="AJ51">
            <v>0</v>
          </cell>
          <cell r="AK51">
            <v>0</v>
          </cell>
          <cell r="AL51">
            <v>0</v>
          </cell>
          <cell r="AM51">
            <v>0</v>
          </cell>
          <cell r="AN51">
            <v>0</v>
          </cell>
          <cell r="AO51">
            <v>0</v>
          </cell>
          <cell r="AP51">
            <v>0</v>
          </cell>
          <cell r="AQ51">
            <v>12.5</v>
          </cell>
          <cell r="AR51">
            <v>3.8</v>
          </cell>
          <cell r="AS51">
            <v>4.87</v>
          </cell>
          <cell r="AT51">
            <v>5.7</v>
          </cell>
          <cell r="AU51">
            <v>7.2160000000000002</v>
          </cell>
          <cell r="AV51">
            <v>4.5199999999999996</v>
          </cell>
          <cell r="AW51">
            <v>3</v>
          </cell>
          <cell r="AX51">
            <v>4.5199999999999996</v>
          </cell>
          <cell r="AY51">
            <v>12.5</v>
          </cell>
          <cell r="AZ51">
            <v>16.3</v>
          </cell>
          <cell r="BA51">
            <v>21.17</v>
          </cell>
          <cell r="BB51">
            <v>26.87</v>
          </cell>
          <cell r="BC51">
            <v>34.085999999999999</v>
          </cell>
          <cell r="BD51">
            <v>38.605999999999995</v>
          </cell>
          <cell r="BE51">
            <v>41.605999999999995</v>
          </cell>
          <cell r="BF51">
            <v>46.125999999999991</v>
          </cell>
          <cell r="BG51">
            <v>50.645999999999987</v>
          </cell>
          <cell r="BH51">
            <v>0</v>
          </cell>
          <cell r="BI51">
            <v>0</v>
          </cell>
          <cell r="BJ51">
            <v>0</v>
          </cell>
          <cell r="BK51">
            <v>0</v>
          </cell>
          <cell r="BL51">
            <v>0</v>
          </cell>
          <cell r="BM51">
            <v>0</v>
          </cell>
          <cell r="BN51">
            <v>0</v>
          </cell>
          <cell r="BO51">
            <v>0</v>
          </cell>
          <cell r="BP51">
            <v>0</v>
          </cell>
          <cell r="BQ51">
            <v>12.5</v>
          </cell>
          <cell r="BR51">
            <v>16.3</v>
          </cell>
          <cell r="BS51">
            <v>21.17</v>
          </cell>
          <cell r="BT51">
            <v>26.87</v>
          </cell>
          <cell r="BU51">
            <v>34.085999999999999</v>
          </cell>
          <cell r="BV51">
            <v>38.605999999999995</v>
          </cell>
          <cell r="BW51">
            <v>41.605999999999995</v>
          </cell>
          <cell r="BX51">
            <v>46.125999999999991</v>
          </cell>
          <cell r="BY51">
            <v>50.645999999999987</v>
          </cell>
          <cell r="BZ51">
            <v>0</v>
          </cell>
          <cell r="CA51">
            <v>0</v>
          </cell>
          <cell r="CB51">
            <v>20.8</v>
          </cell>
          <cell r="CC51">
            <v>16.3</v>
          </cell>
          <cell r="CD51">
            <v>20.8</v>
          </cell>
          <cell r="CE51">
            <v>-4.5</v>
          </cell>
          <cell r="CF51">
            <v>-21.634615384615387</v>
          </cell>
        </row>
        <row r="52">
          <cell r="H52" t="str">
            <v>Ancianos Indigentes</v>
          </cell>
          <cell r="L52">
            <v>29</v>
          </cell>
          <cell r="N52">
            <v>29</v>
          </cell>
          <cell r="O52">
            <v>1.8348734</v>
          </cell>
          <cell r="P52">
            <v>5.9269780000000001</v>
          </cell>
          <cell r="Q52">
            <v>2.8377759999999999</v>
          </cell>
          <cell r="R52">
            <v>0.37401899999999999</v>
          </cell>
          <cell r="S52">
            <v>4.4152029000000006</v>
          </cell>
          <cell r="T52">
            <v>1.4326456000000001</v>
          </cell>
          <cell r="U52">
            <v>0.22790000000000002</v>
          </cell>
          <cell r="V52">
            <v>7.6561999999999991E-2</v>
          </cell>
          <cell r="W52">
            <v>0</v>
          </cell>
          <cell r="X52">
            <v>0</v>
          </cell>
          <cell r="Y52">
            <v>0</v>
          </cell>
          <cell r="Z52">
            <v>0</v>
          </cell>
          <cell r="AA52">
            <v>17.125956900000002</v>
          </cell>
          <cell r="AB52">
            <v>2.6947697075361789E-2</v>
          </cell>
          <cell r="AC52" t="str">
            <v/>
          </cell>
          <cell r="AD52">
            <v>2.6947697075361789E-2</v>
          </cell>
          <cell r="AE52">
            <v>0</v>
          </cell>
          <cell r="AF52">
            <v>8.4365170275823194E-3</v>
          </cell>
          <cell r="AG52">
            <v>0.14236622484045164</v>
          </cell>
          <cell r="AH52">
            <v>12.919471263113875</v>
          </cell>
          <cell r="AI52">
            <v>0.93645339006163753</v>
          </cell>
          <cell r="AJ52">
            <v>0.78775977745049908</v>
          </cell>
          <cell r="AK52">
            <v>0.33851524573174058</v>
          </cell>
          <cell r="AL52">
            <v>1.6440662557501047</v>
          </cell>
          <cell r="AM52">
            <v>1.4331533300605466</v>
          </cell>
          <cell r="AN52">
            <v>2.1586937944326263</v>
          </cell>
          <cell r="AO52">
            <v>4.3158057419225804</v>
          </cell>
          <cell r="AP52">
            <v>1.8348734</v>
          </cell>
          <cell r="AQ52">
            <v>5.9185414829724179</v>
          </cell>
          <cell r="AR52">
            <v>2.6954097751595483</v>
          </cell>
          <cell r="AS52">
            <v>-12.545452263113875</v>
          </cell>
          <cell r="AT52">
            <v>3.4787495099383632</v>
          </cell>
          <cell r="AU52">
            <v>0.644885822549501</v>
          </cell>
          <cell r="AV52">
            <v>-0.11061524573174056</v>
          </cell>
          <cell r="AW52">
            <v>-1.5675042557501047</v>
          </cell>
          <cell r="AX52">
            <v>-1.4331533300605466</v>
          </cell>
          <cell r="AY52">
            <v>7.7618514000000003</v>
          </cell>
          <cell r="AZ52">
            <v>10.599627399999999</v>
          </cell>
          <cell r="BA52">
            <v>10.9736464</v>
          </cell>
          <cell r="BB52">
            <v>15.3888493</v>
          </cell>
          <cell r="BC52">
            <v>16.821494900000001</v>
          </cell>
          <cell r="BD52">
            <v>17.049394900000003</v>
          </cell>
          <cell r="BE52">
            <v>17.125956900000002</v>
          </cell>
          <cell r="BF52">
            <v>17.125956900000002</v>
          </cell>
          <cell r="BG52">
            <v>17.125956900000002</v>
          </cell>
          <cell r="BH52">
            <v>8.4365170275823194E-3</v>
          </cell>
          <cell r="BI52">
            <v>0.15080274186803397</v>
          </cell>
          <cell r="BJ52">
            <v>13.070274004981909</v>
          </cell>
          <cell r="BK52">
            <v>14.006727395043548</v>
          </cell>
          <cell r="BL52">
            <v>14.794487172494048</v>
          </cell>
          <cell r="BM52">
            <v>15.133002418225788</v>
          </cell>
          <cell r="BN52">
            <v>16.777068673975894</v>
          </cell>
          <cell r="BO52">
            <v>18.210222004036439</v>
          </cell>
          <cell r="BP52">
            <v>20.368915798469065</v>
          </cell>
          <cell r="BQ52">
            <v>7.7534148829724181</v>
          </cell>
          <cell r="BR52">
            <v>10.448824658131965</v>
          </cell>
          <cell r="BS52">
            <v>-2.0966276049819097</v>
          </cell>
          <cell r="BT52">
            <v>1.3821219049564526</v>
          </cell>
          <cell r="BU52">
            <v>2.0270077275059535</v>
          </cell>
          <cell r="BV52">
            <v>1.9163924817742153</v>
          </cell>
          <cell r="BW52">
            <v>0.34888822602410841</v>
          </cell>
          <cell r="BX52">
            <v>-1.0842651040364366</v>
          </cell>
          <cell r="BY52">
            <v>-3.2429588984690625</v>
          </cell>
          <cell r="BZ52">
            <v>0</v>
          </cell>
          <cell r="CA52">
            <v>8.0000000000000002E-3</v>
          </cell>
          <cell r="CB52">
            <v>0.13500000000000001</v>
          </cell>
          <cell r="CC52">
            <v>10.599627399999999</v>
          </cell>
          <cell r="CD52">
            <v>0.14300000000000002</v>
          </cell>
          <cell r="CE52">
            <v>10.456627399999999</v>
          </cell>
          <cell r="CF52">
            <v>7312.3268531468511</v>
          </cell>
        </row>
        <row r="53">
          <cell r="H53" t="str">
            <v>Fondo Solidaridad Pensional</v>
          </cell>
          <cell r="L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cell r="AD53" t="str">
            <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5.0979999999999999</v>
          </cell>
          <cell r="CA53">
            <v>0</v>
          </cell>
          <cell r="CB53">
            <v>0.83499999999999996</v>
          </cell>
          <cell r="CC53">
            <v>0</v>
          </cell>
          <cell r="CD53">
            <v>5.9329999999999998</v>
          </cell>
          <cell r="CE53">
            <v>-5.9329999999999998</v>
          </cell>
          <cell r="CF53">
            <v>-100</v>
          </cell>
        </row>
        <row r="54">
          <cell r="H54" t="str">
            <v>Fondo Compensación Educativa</v>
          </cell>
          <cell r="L54">
            <v>220.2</v>
          </cell>
          <cell r="N54">
            <v>220.2</v>
          </cell>
          <cell r="O54">
            <v>9.2852999999999994</v>
          </cell>
          <cell r="P54">
            <v>11.225200000000001</v>
          </cell>
          <cell r="Q54">
            <v>4.09321</v>
          </cell>
          <cell r="R54">
            <v>0.18</v>
          </cell>
          <cell r="S54">
            <v>4.7365000000000004</v>
          </cell>
          <cell r="T54">
            <v>4.6295000000000002</v>
          </cell>
          <cell r="U54">
            <v>8.8294999999999995</v>
          </cell>
          <cell r="V54">
            <v>7.7148100000000008</v>
          </cell>
          <cell r="W54">
            <v>0</v>
          </cell>
          <cell r="X54">
            <v>0</v>
          </cell>
          <cell r="Y54">
            <v>0</v>
          </cell>
          <cell r="Z54">
            <v>0</v>
          </cell>
          <cell r="AA54">
            <v>50.694019999999995</v>
          </cell>
          <cell r="AB54">
            <v>0.20461665158602299</v>
          </cell>
          <cell r="AC54" t="str">
            <v/>
          </cell>
          <cell r="AD54">
            <v>0.20461665158602299</v>
          </cell>
          <cell r="AE54">
            <v>0</v>
          </cell>
          <cell r="AF54">
            <v>0</v>
          </cell>
          <cell r="AG54">
            <v>0</v>
          </cell>
          <cell r="AH54">
            <v>0</v>
          </cell>
          <cell r="AI54">
            <v>0</v>
          </cell>
          <cell r="AJ54">
            <v>0</v>
          </cell>
          <cell r="AK54">
            <v>23.213855421686748</v>
          </cell>
          <cell r="AL54">
            <v>72.128765060240966</v>
          </cell>
          <cell r="AM54">
            <v>31.214344879518066</v>
          </cell>
          <cell r="AN54">
            <v>31.214344879518066</v>
          </cell>
          <cell r="AO54">
            <v>31.214344879518066</v>
          </cell>
          <cell r="AP54">
            <v>9.2852999999999994</v>
          </cell>
          <cell r="AQ54">
            <v>11.225200000000001</v>
          </cell>
          <cell r="AR54">
            <v>4.09321</v>
          </cell>
          <cell r="AS54">
            <v>0.18</v>
          </cell>
          <cell r="AT54">
            <v>4.7365000000000004</v>
          </cell>
          <cell r="AU54">
            <v>4.6295000000000002</v>
          </cell>
          <cell r="AV54">
            <v>-14.384355421686749</v>
          </cell>
          <cell r="AW54">
            <v>-64.413955060240966</v>
          </cell>
          <cell r="AX54">
            <v>-31.214344879518066</v>
          </cell>
          <cell r="AY54">
            <v>20.5105</v>
          </cell>
          <cell r="AZ54">
            <v>24.60371</v>
          </cell>
          <cell r="BA54">
            <v>24.783709999999999</v>
          </cell>
          <cell r="BB54">
            <v>29.520209999999999</v>
          </cell>
          <cell r="BC54">
            <v>34.149709999999999</v>
          </cell>
          <cell r="BD54">
            <v>42.979209999999995</v>
          </cell>
          <cell r="BE54">
            <v>50.694019999999995</v>
          </cell>
          <cell r="BF54">
            <v>50.694019999999995</v>
          </cell>
          <cell r="BG54">
            <v>50.694019999999995</v>
          </cell>
          <cell r="BH54">
            <v>0</v>
          </cell>
          <cell r="BI54">
            <v>0</v>
          </cell>
          <cell r="BJ54">
            <v>0</v>
          </cell>
          <cell r="BK54">
            <v>0</v>
          </cell>
          <cell r="BL54">
            <v>0</v>
          </cell>
          <cell r="BM54">
            <v>23.213855421686748</v>
          </cell>
          <cell r="BN54">
            <v>95.34262048192771</v>
          </cell>
          <cell r="BO54">
            <v>126.55696536144578</v>
          </cell>
          <cell r="BP54">
            <v>157.77131024096383</v>
          </cell>
          <cell r="BQ54">
            <v>20.5105</v>
          </cell>
          <cell r="BR54">
            <v>24.60371</v>
          </cell>
          <cell r="BS54">
            <v>24.783709999999999</v>
          </cell>
          <cell r="BT54">
            <v>29.520209999999999</v>
          </cell>
          <cell r="BU54">
            <v>34.149709999999999</v>
          </cell>
          <cell r="BV54">
            <v>19.765354578313246</v>
          </cell>
          <cell r="BW54">
            <v>-44.648600481927716</v>
          </cell>
          <cell r="BX54">
            <v>-75.862945361445782</v>
          </cell>
          <cell r="BY54">
            <v>-107.07729024096383</v>
          </cell>
          <cell r="BZ54">
            <v>0</v>
          </cell>
          <cell r="CA54">
            <v>0</v>
          </cell>
          <cell r="CB54">
            <v>0</v>
          </cell>
          <cell r="CC54">
            <v>24.60371</v>
          </cell>
          <cell r="CD54">
            <v>0</v>
          </cell>
          <cell r="CE54">
            <v>24.60371</v>
          </cell>
          <cell r="CF54" t="str">
            <v xml:space="preserve">n.a. </v>
          </cell>
        </row>
        <row r="55">
          <cell r="G55" t="str">
            <v>Más Transferencias de Deuda</v>
          </cell>
          <cell r="L55">
            <v>177.85391466988909</v>
          </cell>
          <cell r="M55">
            <v>0</v>
          </cell>
          <cell r="N55">
            <v>177.85391466988909</v>
          </cell>
          <cell r="O55">
            <v>0.65426953900000007</v>
          </cell>
          <cell r="P55">
            <v>24.687984660999998</v>
          </cell>
          <cell r="Q55">
            <v>2.0402732663333336</v>
          </cell>
          <cell r="R55">
            <v>3.321029274363636</v>
          </cell>
          <cell r="S55">
            <v>11.226935897980429</v>
          </cell>
          <cell r="T55">
            <v>28.685882641888888</v>
          </cell>
          <cell r="U55">
            <v>0.41397398922222223</v>
          </cell>
          <cell r="V55">
            <v>34.224566441666667</v>
          </cell>
          <cell r="W55">
            <v>1.2387761833333333</v>
          </cell>
          <cell r="X55">
            <v>2.2599205617777773</v>
          </cell>
          <cell r="Y55">
            <v>12.437870640333331</v>
          </cell>
          <cell r="Z55">
            <v>12.58805003</v>
          </cell>
          <cell r="AA55">
            <v>133.77953312689959</v>
          </cell>
          <cell r="AB55">
            <v>0.16526735917901433</v>
          </cell>
          <cell r="AC55" t="str">
            <v/>
          </cell>
          <cell r="AD55">
            <v>0.16526735917901433</v>
          </cell>
          <cell r="AE55">
            <v>2.7382788515788858</v>
          </cell>
          <cell r="AF55">
            <v>37.841788827218167</v>
          </cell>
          <cell r="AG55">
            <v>0.60866219444955894</v>
          </cell>
          <cell r="AH55">
            <v>2.9755506807456689</v>
          </cell>
          <cell r="AI55">
            <v>11.97493600495687</v>
          </cell>
          <cell r="AJ55">
            <v>45.798330754943443</v>
          </cell>
          <cell r="AK55">
            <v>0.98597126951555292</v>
          </cell>
          <cell r="AL55">
            <v>41.521531819230319</v>
          </cell>
          <cell r="AM55">
            <v>1.3428440887838857</v>
          </cell>
          <cell r="AN55">
            <v>2.4087476457022081</v>
          </cell>
          <cell r="AO55">
            <v>7.4771926772853803</v>
          </cell>
          <cell r="AP55">
            <v>-2.0840093125788859</v>
          </cell>
          <cell r="AQ55">
            <v>-13.153804166218169</v>
          </cell>
          <cell r="AR55">
            <v>1.4316110718837747</v>
          </cell>
          <cell r="AS55">
            <v>0.34547859361796718</v>
          </cell>
          <cell r="AT55">
            <v>-0.74800010697644126</v>
          </cell>
          <cell r="AU55">
            <v>-17.112448113054555</v>
          </cell>
          <cell r="AV55">
            <v>-0.57199728029333063</v>
          </cell>
          <cell r="AW55">
            <v>-7.2969653775636516</v>
          </cell>
          <cell r="AX55">
            <v>-0.10406790545055244</v>
          </cell>
          <cell r="AY55">
            <v>25.342254199999999</v>
          </cell>
          <cell r="AZ55">
            <v>27.382527466333332</v>
          </cell>
          <cell r="BA55">
            <v>30.703556740696968</v>
          </cell>
          <cell r="BB55">
            <v>41.930492638677393</v>
          </cell>
          <cell r="BC55">
            <v>70.616375280566288</v>
          </cell>
          <cell r="BD55">
            <v>71.030349269788502</v>
          </cell>
          <cell r="BE55">
            <v>105.25491571145517</v>
          </cell>
          <cell r="BF55">
            <v>106.49369189478851</v>
          </cell>
          <cell r="BG55">
            <v>108.75361245656629</v>
          </cell>
          <cell r="BH55">
            <v>40.580067678797057</v>
          </cell>
          <cell r="BI55">
            <v>41.188729873246615</v>
          </cell>
          <cell r="BJ55">
            <v>44.164280553992285</v>
          </cell>
          <cell r="BK55">
            <v>56.139216558949151</v>
          </cell>
          <cell r="BL55">
            <v>101.93754731389259</v>
          </cell>
          <cell r="BM55">
            <v>102.92351858340814</v>
          </cell>
          <cell r="BN55">
            <v>144.44505040263846</v>
          </cell>
          <cell r="BO55">
            <v>145.78789449142235</v>
          </cell>
          <cell r="BP55">
            <v>148.19664213712457</v>
          </cell>
          <cell r="BQ55">
            <v>-15.237813478797056</v>
          </cell>
          <cell r="BR55">
            <v>-13.806202406913286</v>
          </cell>
          <cell r="BS55">
            <v>-13.460723813295317</v>
          </cell>
          <cell r="BT55">
            <v>-14.208723920271758</v>
          </cell>
          <cell r="BU55">
            <v>-31.321172033326306</v>
          </cell>
          <cell r="BV55">
            <v>-31.893169313619641</v>
          </cell>
          <cell r="BW55">
            <v>-39.190134691183289</v>
          </cell>
          <cell r="BX55">
            <v>-39.294202596633838</v>
          </cell>
          <cell r="BY55">
            <v>-39.443029680558283</v>
          </cell>
          <cell r="BZ55">
            <v>2.1337000000000002</v>
          </cell>
          <cell r="CA55">
            <v>25.866163459999999</v>
          </cell>
          <cell r="CB55">
            <v>0.60479949999999993</v>
          </cell>
          <cell r="CC55">
            <v>27.382527466333332</v>
          </cell>
          <cell r="CD55">
            <v>28.604662959999999</v>
          </cell>
          <cell r="CE55">
            <v>-1.2221354936666664</v>
          </cell>
          <cell r="CF55">
            <v>-4.2725044352931789</v>
          </cell>
          <cell r="CI55">
            <v>338.12739999999997</v>
          </cell>
        </row>
        <row r="56">
          <cell r="H56" t="str">
            <v>Deuda Externa Entidades</v>
          </cell>
          <cell r="L56">
            <v>122.43058841578632</v>
          </cell>
          <cell r="N56">
            <v>122.43058841578632</v>
          </cell>
          <cell r="O56">
            <v>5.5769539000000007E-2</v>
          </cell>
          <cell r="P56">
            <v>23.123284661</v>
          </cell>
          <cell r="Q56">
            <v>0.18767326633333339</v>
          </cell>
          <cell r="R56">
            <v>1.5677292743636362</v>
          </cell>
          <cell r="S56">
            <v>10.640369487980429</v>
          </cell>
          <cell r="T56">
            <v>4.5132826418888898</v>
          </cell>
          <cell r="U56">
            <v>5.9673989222222203E-2</v>
          </cell>
          <cell r="V56">
            <v>34.019566441666669</v>
          </cell>
          <cell r="W56">
            <v>0.80927618333333329</v>
          </cell>
          <cell r="X56">
            <v>1.8941205617777774</v>
          </cell>
          <cell r="Y56">
            <v>12.261470640333332</v>
          </cell>
          <cell r="Z56">
            <v>0</v>
          </cell>
          <cell r="AA56">
            <v>89.132216686899625</v>
          </cell>
          <cell r="AB56">
            <v>0.11376628997885889</v>
          </cell>
          <cell r="AC56" t="str">
            <v/>
          </cell>
          <cell r="AD56">
            <v>0.11376628997885889</v>
          </cell>
          <cell r="AE56">
            <v>2.4042955140057494</v>
          </cell>
          <cell r="AF56">
            <v>37.180898418894088</v>
          </cell>
          <cell r="AG56">
            <v>0.26214014023384996</v>
          </cell>
          <cell r="AH56">
            <v>2.7159775875713388</v>
          </cell>
          <cell r="AI56">
            <v>10.581432294611959</v>
          </cell>
          <cell r="AJ56">
            <v>11.434353326463118</v>
          </cell>
          <cell r="AK56">
            <v>0.92642613732675994</v>
          </cell>
          <cell r="AL56">
            <v>41.317225185282524</v>
          </cell>
          <cell r="AM56">
            <v>1.136809529216718</v>
          </cell>
          <cell r="AN56">
            <v>2.1860920873201168</v>
          </cell>
          <cell r="AO56">
            <v>7.0565662122265298</v>
          </cell>
          <cell r="AP56">
            <v>-2.3485259750057494</v>
          </cell>
          <cell r="AQ56">
            <v>-14.057613757894089</v>
          </cell>
          <cell r="AR56">
            <v>-7.4466873900516567E-2</v>
          </cell>
          <cell r="AS56">
            <v>-1.1482483132077026</v>
          </cell>
          <cell r="AT56">
            <v>5.893719336846992E-2</v>
          </cell>
          <cell r="AU56">
            <v>-6.9210706845742278</v>
          </cell>
          <cell r="AV56">
            <v>-0.86675214810453771</v>
          </cell>
          <cell r="AW56">
            <v>-7.2976587436158553</v>
          </cell>
          <cell r="AX56">
            <v>-0.32753334588338467</v>
          </cell>
          <cell r="AY56">
            <v>23.179054199999999</v>
          </cell>
          <cell r="AZ56">
            <v>23.366727466333334</v>
          </cell>
          <cell r="BA56">
            <v>24.934456740696969</v>
          </cell>
          <cell r="BB56">
            <v>35.574826228677395</v>
          </cell>
          <cell r="BC56">
            <v>40.088108870566288</v>
          </cell>
          <cell r="BD56">
            <v>40.147782859788506</v>
          </cell>
          <cell r="BE56">
            <v>74.167349301455175</v>
          </cell>
          <cell r="BF56">
            <v>74.976625484788514</v>
          </cell>
          <cell r="BG56">
            <v>76.870746046566296</v>
          </cell>
          <cell r="BH56">
            <v>39.585193932899841</v>
          </cell>
          <cell r="BI56">
            <v>39.847334073133695</v>
          </cell>
          <cell r="BJ56">
            <v>42.563311660705033</v>
          </cell>
          <cell r="BK56">
            <v>53.14474395531699</v>
          </cell>
          <cell r="BL56">
            <v>64.579097281780108</v>
          </cell>
          <cell r="BM56">
            <v>65.505523419106865</v>
          </cell>
          <cell r="BN56">
            <v>106.82274860438939</v>
          </cell>
          <cell r="BO56">
            <v>107.95955813360611</v>
          </cell>
          <cell r="BP56">
            <v>110.14565022092623</v>
          </cell>
          <cell r="BQ56">
            <v>-16.406139732899842</v>
          </cell>
          <cell r="BR56">
            <v>-16.480606606800361</v>
          </cell>
          <cell r="BS56">
            <v>-17.628854920008063</v>
          </cell>
          <cell r="BT56">
            <v>-17.569917726639595</v>
          </cell>
          <cell r="BU56">
            <v>-24.49098841121382</v>
          </cell>
          <cell r="BV56">
            <v>-25.357740559318358</v>
          </cell>
          <cell r="BW56">
            <v>-32.655399302934214</v>
          </cell>
          <cell r="BX56">
            <v>-32.982932648817595</v>
          </cell>
          <cell r="BY56">
            <v>-33.274904174359932</v>
          </cell>
          <cell r="BZ56">
            <v>1.7278</v>
          </cell>
          <cell r="CA56">
            <v>25.062963459999999</v>
          </cell>
          <cell r="CB56">
            <v>0.1787995</v>
          </cell>
          <cell r="CC56">
            <v>23.366727466333334</v>
          </cell>
          <cell r="CD56">
            <v>26.969562959999998</v>
          </cell>
          <cell r="CE56">
            <v>-3.6028354936666638</v>
          </cell>
          <cell r="CF56">
            <v>-13.358894613940253</v>
          </cell>
          <cell r="CI56">
            <v>1393.1273999999999</v>
          </cell>
        </row>
        <row r="57">
          <cell r="H57" t="str">
            <v>Deuda Interna Entidades</v>
          </cell>
          <cell r="L57">
            <v>55.423326254102776</v>
          </cell>
          <cell r="N57">
            <v>55.423326254102776</v>
          </cell>
          <cell r="O57">
            <v>0.59850000000000003</v>
          </cell>
          <cell r="P57">
            <v>1.5647</v>
          </cell>
          <cell r="Q57">
            <v>1.8526</v>
          </cell>
          <cell r="R57">
            <v>1.7533000000000001</v>
          </cell>
          <cell r="S57">
            <v>0.58656640999999998</v>
          </cell>
          <cell r="T57">
            <v>24.172599999999999</v>
          </cell>
          <cell r="U57">
            <v>0.3543</v>
          </cell>
          <cell r="V57">
            <v>0.20499999999999999</v>
          </cell>
          <cell r="W57">
            <v>0.42949999999999999</v>
          </cell>
          <cell r="X57">
            <v>0.36580000000000001</v>
          </cell>
          <cell r="Y57">
            <v>0.1764</v>
          </cell>
          <cell r="Z57">
            <v>12.58805003</v>
          </cell>
          <cell r="AA57">
            <v>44.647316439999997</v>
          </cell>
          <cell r="AB57">
            <v>5.1501069200155437E-2</v>
          </cell>
          <cell r="AC57" t="str">
            <v/>
          </cell>
          <cell r="AD57">
            <v>5.1501069200155437E-2</v>
          </cell>
          <cell r="AE57">
            <v>0.33398333757313658</v>
          </cell>
          <cell r="AF57">
            <v>0.66089040832407797</v>
          </cell>
          <cell r="AG57">
            <v>0.34652205421570897</v>
          </cell>
          <cell r="AH57">
            <v>0.25957309317432997</v>
          </cell>
          <cell r="AI57">
            <v>1.3935037103449099</v>
          </cell>
          <cell r="AJ57">
            <v>34.363977428480325</v>
          </cell>
          <cell r="AK57">
            <v>5.9545132188792982E-2</v>
          </cell>
          <cell r="AL57">
            <v>0.20430663394779458</v>
          </cell>
          <cell r="AM57">
            <v>0.20603455956716779</v>
          </cell>
          <cell r="AN57">
            <v>0.22265555838209106</v>
          </cell>
          <cell r="AO57">
            <v>0.42062646505885048</v>
          </cell>
          <cell r="AP57">
            <v>0.26451666242686345</v>
          </cell>
          <cell r="AQ57">
            <v>0.90380959167592201</v>
          </cell>
          <cell r="AR57">
            <v>1.506077945784291</v>
          </cell>
          <cell r="AS57">
            <v>1.4937269068256702</v>
          </cell>
          <cell r="AT57">
            <v>-0.80693730034490996</v>
          </cell>
          <cell r="AU57">
            <v>-10.191377428480326</v>
          </cell>
          <cell r="AV57">
            <v>0.29475486781120702</v>
          </cell>
          <cell r="AW57">
            <v>6.9336605220540748E-4</v>
          </cell>
          <cell r="AX57">
            <v>0.2234654404328322</v>
          </cell>
          <cell r="AY57">
            <v>2.1631999999999998</v>
          </cell>
          <cell r="AZ57">
            <v>4.0157999999999996</v>
          </cell>
          <cell r="BA57">
            <v>5.7690999999999999</v>
          </cell>
          <cell r="BB57">
            <v>6.3556664099999995</v>
          </cell>
          <cell r="BC57">
            <v>30.528266410000001</v>
          </cell>
          <cell r="BD57">
            <v>30.882566409999999</v>
          </cell>
          <cell r="BE57">
            <v>31.087566409999997</v>
          </cell>
          <cell r="BF57">
            <v>31.517066409999998</v>
          </cell>
          <cell r="BG57">
            <v>31.882866409999998</v>
          </cell>
          <cell r="BH57">
            <v>0.99487374589721456</v>
          </cell>
          <cell r="BI57">
            <v>1.3413958001129236</v>
          </cell>
          <cell r="BJ57">
            <v>1.6009688932872534</v>
          </cell>
          <cell r="BK57">
            <v>2.9944726036321634</v>
          </cell>
          <cell r="BL57">
            <v>37.358450032112486</v>
          </cell>
          <cell r="BM57">
            <v>37.417995164301281</v>
          </cell>
          <cell r="BN57">
            <v>37.622301798249076</v>
          </cell>
          <cell r="BO57">
            <v>37.828336357816241</v>
          </cell>
          <cell r="BP57">
            <v>38.050991916198335</v>
          </cell>
          <cell r="BQ57">
            <v>1.1683262541027852</v>
          </cell>
          <cell r="BR57">
            <v>2.6744041998870758</v>
          </cell>
          <cell r="BS57">
            <v>4.168131106712746</v>
          </cell>
          <cell r="BT57">
            <v>3.3611938063678362</v>
          </cell>
          <cell r="BU57">
            <v>-6.8301836221124859</v>
          </cell>
          <cell r="BV57">
            <v>-6.5354287543012823</v>
          </cell>
          <cell r="BW57">
            <v>-6.5347353882490786</v>
          </cell>
          <cell r="BX57">
            <v>-6.3112699478162426</v>
          </cell>
          <cell r="BY57">
            <v>-6.1681255061983364</v>
          </cell>
          <cell r="BZ57">
            <v>0.40589999999999998</v>
          </cell>
          <cell r="CA57">
            <v>0.80320000000000003</v>
          </cell>
          <cell r="CB57">
            <v>0.42599999999999999</v>
          </cell>
          <cell r="CC57">
            <v>4.0157999999999996</v>
          </cell>
          <cell r="CD57">
            <v>1.6351</v>
          </cell>
          <cell r="CE57">
            <v>2.3806999999999996</v>
          </cell>
          <cell r="CF57">
            <v>145.59965751330193</v>
          </cell>
        </row>
        <row r="58">
          <cell r="BN58">
            <v>0</v>
          </cell>
          <cell r="BW58">
            <v>0</v>
          </cell>
        </row>
        <row r="59">
          <cell r="L59">
            <v>2537.5869837451937</v>
          </cell>
          <cell r="M59">
            <v>0</v>
          </cell>
          <cell r="N59">
            <v>2537.5869837451937</v>
          </cell>
          <cell r="Q59">
            <v>294.0610956759279</v>
          </cell>
          <cell r="R59">
            <v>242.60712493043712</v>
          </cell>
          <cell r="S59">
            <v>163.62961941089</v>
          </cell>
          <cell r="T59">
            <v>144.72957612675719</v>
          </cell>
          <cell r="U59">
            <v>242.82889541177775</v>
          </cell>
          <cell r="V59">
            <v>198.61304410745123</v>
          </cell>
          <cell r="W59">
            <v>511.05546935365669</v>
          </cell>
          <cell r="X59">
            <v>211.26157493933331</v>
          </cell>
          <cell r="Y59">
            <v>97.855146539000003</v>
          </cell>
          <cell r="Z59">
            <v>287.48785082556651</v>
          </cell>
          <cell r="AA59">
            <v>2684.1596631453813</v>
          </cell>
          <cell r="AB59">
            <v>2.3580043220809142</v>
          </cell>
          <cell r="AC59" t="str">
            <v/>
          </cell>
          <cell r="AD59">
            <v>2.3580043220809142</v>
          </cell>
          <cell r="AE59">
            <v>139.29688463322262</v>
          </cell>
          <cell r="AF59">
            <v>138.65641176632701</v>
          </cell>
          <cell r="AG59">
            <v>329.85988123361915</v>
          </cell>
          <cell r="AH59">
            <v>241.25266478841922</v>
          </cell>
          <cell r="AI59">
            <v>179.96494847638968</v>
          </cell>
          <cell r="AJ59">
            <v>163.69305167317788</v>
          </cell>
          <cell r="AK59">
            <v>194.7889101078257</v>
          </cell>
          <cell r="AL59">
            <v>278.33786711858227</v>
          </cell>
          <cell r="AM59">
            <v>438.22349769462562</v>
          </cell>
          <cell r="AN59">
            <v>113.58463397436068</v>
          </cell>
          <cell r="AO59">
            <v>75.514513207985942</v>
          </cell>
          <cell r="AP59">
            <v>-1.3528202868892834</v>
          </cell>
          <cell r="AQ59">
            <v>13.429789711923007</v>
          </cell>
          <cell r="AR59">
            <v>-35.798785557691247</v>
          </cell>
          <cell r="AS59">
            <v>1.3544601420178992</v>
          </cell>
          <cell r="AT59">
            <v>-16.335329065499678</v>
          </cell>
          <cell r="AU59">
            <v>-18.963475546420682</v>
          </cell>
          <cell r="AV59">
            <v>48.039985303952051</v>
          </cell>
          <cell r="AW59">
            <v>-79.724823011131036</v>
          </cell>
          <cell r="AX59">
            <v>72.831971659031069</v>
          </cell>
          <cell r="AY59">
            <v>290.03026582458335</v>
          </cell>
          <cell r="AZ59">
            <v>584.09136150051131</v>
          </cell>
          <cell r="BA59">
            <v>826.69848643094838</v>
          </cell>
          <cell r="BB59">
            <v>990.32810584183846</v>
          </cell>
          <cell r="BC59">
            <v>1135.0576819685957</v>
          </cell>
          <cell r="BD59">
            <v>1377.8865773803734</v>
          </cell>
          <cell r="BE59">
            <v>1576.4996214878245</v>
          </cell>
          <cell r="BF59">
            <v>2087.5550908414812</v>
          </cell>
          <cell r="BG59">
            <v>2298.8166657808147</v>
          </cell>
          <cell r="BH59">
            <v>277.95329639954963</v>
          </cell>
          <cell r="BI59">
            <v>607.81317763316883</v>
          </cell>
          <cell r="BJ59">
            <v>849.06584242158806</v>
          </cell>
          <cell r="BK59">
            <v>1029.0307908979776</v>
          </cell>
          <cell r="BL59">
            <v>1192.7238425711555</v>
          </cell>
          <cell r="BM59">
            <v>1387.5127526789813</v>
          </cell>
          <cell r="BN59">
            <v>1665.8506197975639</v>
          </cell>
          <cell r="BO59">
            <v>2104.0741174921895</v>
          </cell>
          <cell r="BP59">
            <v>2217.6587514665503</v>
          </cell>
          <cell r="BQ59">
            <v>12.07696942503371</v>
          </cell>
          <cell r="BR59">
            <v>-23.721816132657551</v>
          </cell>
          <cell r="BS59">
            <v>-22.367355990639567</v>
          </cell>
          <cell r="BT59">
            <v>-38.702685056139217</v>
          </cell>
          <cell r="BU59">
            <v>-57.666160602559842</v>
          </cell>
          <cell r="BV59">
            <v>-9.6261752986079046</v>
          </cell>
          <cell r="BW59">
            <v>-89.350998309739452</v>
          </cell>
          <cell r="BX59">
            <v>-16.519026650708383</v>
          </cell>
          <cell r="BY59">
            <v>81.157914314264417</v>
          </cell>
          <cell r="BZ59">
            <v>51.372504939999999</v>
          </cell>
          <cell r="CA59">
            <v>185.31118026000001</v>
          </cell>
          <cell r="CB59">
            <v>176.49927199999999</v>
          </cell>
          <cell r="CC59">
            <v>584.09136150051131</v>
          </cell>
          <cell r="CD59">
            <v>413.18295719999998</v>
          </cell>
          <cell r="CE59">
            <v>170.90840430051134</v>
          </cell>
          <cell r="CF59">
            <v>41.363856210018767</v>
          </cell>
        </row>
        <row r="60">
          <cell r="L60">
            <v>1857.0093354691621</v>
          </cell>
          <cell r="M60">
            <v>0</v>
          </cell>
          <cell r="N60">
            <v>1857.0093354691621</v>
          </cell>
          <cell r="Q60">
            <v>250.2770903</v>
          </cell>
          <cell r="R60">
            <v>181.92547436683</v>
          </cell>
          <cell r="S60">
            <v>136.10404965729001</v>
          </cell>
          <cell r="T60">
            <v>66.59179432900001</v>
          </cell>
          <cell r="U60">
            <v>201.49002999999999</v>
          </cell>
          <cell r="V60">
            <v>117.15720660522</v>
          </cell>
          <cell r="W60">
            <v>455.76433764899002</v>
          </cell>
          <cell r="X60">
            <v>119.3005</v>
          </cell>
          <cell r="Y60">
            <v>80.678799999999995</v>
          </cell>
          <cell r="Z60">
            <v>223.83</v>
          </cell>
          <cell r="AA60">
            <v>2034.9541098073298</v>
          </cell>
          <cell r="AB60">
            <v>1.725590518563513</v>
          </cell>
          <cell r="AC60" t="str">
            <v/>
          </cell>
          <cell r="AD60">
            <v>1.725590518563513</v>
          </cell>
          <cell r="AE60">
            <v>105.5949751885439</v>
          </cell>
          <cell r="AF60">
            <v>83.460269798793149</v>
          </cell>
          <cell r="AG60">
            <v>259.77615401441949</v>
          </cell>
          <cell r="AH60">
            <v>167.34054464170501</v>
          </cell>
          <cell r="AI60">
            <v>133.32951094867099</v>
          </cell>
          <cell r="AJ60">
            <v>88.77389837829439</v>
          </cell>
          <cell r="AK60">
            <v>161.08700066314699</v>
          </cell>
          <cell r="AL60">
            <v>178.59418459334898</v>
          </cell>
          <cell r="AM60">
            <v>334.39982540121105</v>
          </cell>
          <cell r="AN60">
            <v>48.910951726747605</v>
          </cell>
          <cell r="AO60">
            <v>44.769004089069</v>
          </cell>
          <cell r="AP60">
            <v>2.2549181114560923</v>
          </cell>
          <cell r="AQ60">
            <v>10.524663801206856</v>
          </cell>
          <cell r="AR60">
            <v>-9.499063714419492</v>
          </cell>
          <cell r="AS60">
            <v>14.584929725124994</v>
          </cell>
          <cell r="AT60">
            <v>2.7745387086190192</v>
          </cell>
          <cell r="AU60">
            <v>-22.182104049294381</v>
          </cell>
          <cell r="AV60">
            <v>40.403029336852995</v>
          </cell>
          <cell r="AW60">
            <v>-61.436977988128987</v>
          </cell>
          <cell r="AX60">
            <v>121.36451224777898</v>
          </cell>
          <cell r="AY60">
            <v>201.8348269</v>
          </cell>
          <cell r="AZ60">
            <v>452.11191719999999</v>
          </cell>
          <cell r="BA60">
            <v>634.03739156683002</v>
          </cell>
          <cell r="BB60">
            <v>770.14144122412006</v>
          </cell>
          <cell r="BC60">
            <v>836.73323555312004</v>
          </cell>
          <cell r="BD60">
            <v>1038.22326555312</v>
          </cell>
          <cell r="BE60">
            <v>1155.3804721583399</v>
          </cell>
          <cell r="BF60">
            <v>1611.1448098073299</v>
          </cell>
          <cell r="BG60">
            <v>1730.44530980733</v>
          </cell>
          <cell r="BH60">
            <v>189.05524498733706</v>
          </cell>
          <cell r="BI60">
            <v>448.83139900175655</v>
          </cell>
          <cell r="BJ60">
            <v>616.17194364346153</v>
          </cell>
          <cell r="BK60">
            <v>749.50145459213252</v>
          </cell>
          <cell r="BL60">
            <v>838.27535297042687</v>
          </cell>
          <cell r="BM60">
            <v>999.36235363357389</v>
          </cell>
          <cell r="BN60">
            <v>1177.9565382269229</v>
          </cell>
          <cell r="BO60">
            <v>1512.356363628134</v>
          </cell>
          <cell r="BP60">
            <v>1561.2673153548815</v>
          </cell>
          <cell r="BQ60">
            <v>12.779581912662934</v>
          </cell>
          <cell r="BR60">
            <v>3.2805181982434419</v>
          </cell>
          <cell r="BS60">
            <v>17.865447923368492</v>
          </cell>
          <cell r="BT60">
            <v>20.63998663198754</v>
          </cell>
          <cell r="BU60">
            <v>-1.5421174173068266</v>
          </cell>
          <cell r="BV60">
            <v>38.860911919546083</v>
          </cell>
          <cell r="BW60">
            <v>-22.576066068583032</v>
          </cell>
          <cell r="BX60">
            <v>98.788446179195944</v>
          </cell>
          <cell r="BY60">
            <v>169.1779944524485</v>
          </cell>
          <cell r="BZ60">
            <v>22.890900000000002</v>
          </cell>
          <cell r="CA60">
            <v>152.2893</v>
          </cell>
          <cell r="CB60">
            <v>144.3749</v>
          </cell>
          <cell r="CC60">
            <v>452.11191719999999</v>
          </cell>
          <cell r="CD60">
            <v>319.55509999999998</v>
          </cell>
          <cell r="CE60">
            <v>132.55681720000001</v>
          </cell>
          <cell r="CF60">
            <v>41.481677870264001</v>
          </cell>
        </row>
        <row r="61">
          <cell r="G61" t="str">
            <v>Pagos de Gobierno por Tesorería</v>
          </cell>
          <cell r="L61">
            <v>1771.1911754257305</v>
          </cell>
          <cell r="N61">
            <v>1771.1911754257305</v>
          </cell>
          <cell r="O61">
            <v>107.84989329999999</v>
          </cell>
          <cell r="P61">
            <v>93.984933600000005</v>
          </cell>
          <cell r="Q61">
            <v>250.2770903</v>
          </cell>
          <cell r="R61">
            <v>181.92547436683</v>
          </cell>
          <cell r="S61">
            <v>136.10404965729001</v>
          </cell>
          <cell r="T61">
            <v>66.59179432900001</v>
          </cell>
          <cell r="U61">
            <v>201.49002999999999</v>
          </cell>
          <cell r="V61">
            <v>117.15720660522</v>
          </cell>
          <cell r="W61">
            <v>455.76433764899002</v>
          </cell>
          <cell r="X61">
            <v>119.3005</v>
          </cell>
          <cell r="Y61">
            <v>80.678799999999995</v>
          </cell>
          <cell r="Z61">
            <v>223.83</v>
          </cell>
          <cell r="AA61">
            <v>2034.9541098073298</v>
          </cell>
          <cell r="AB61">
            <v>1.6458456295836748</v>
          </cell>
          <cell r="AC61" t="str">
            <v/>
          </cell>
          <cell r="AD61">
            <v>1.6458456295836748</v>
          </cell>
          <cell r="AE61">
            <v>105.5949751885439</v>
          </cell>
          <cell r="AF61">
            <v>83.460269798793149</v>
          </cell>
          <cell r="AG61">
            <v>259.77615401441949</v>
          </cell>
          <cell r="AH61">
            <v>167.34054464170501</v>
          </cell>
          <cell r="AI61">
            <v>133.32951094867099</v>
          </cell>
          <cell r="AJ61">
            <v>88.77389837829439</v>
          </cell>
          <cell r="AK61">
            <v>161.08700066314699</v>
          </cell>
          <cell r="AL61">
            <v>178.59418459334898</v>
          </cell>
          <cell r="AM61">
            <v>334.39982540121105</v>
          </cell>
          <cell r="AN61">
            <v>48.910951726747605</v>
          </cell>
          <cell r="AO61">
            <v>44.769004089069</v>
          </cell>
          <cell r="AP61">
            <v>2.2549181114560923</v>
          </cell>
          <cell r="AQ61">
            <v>10.524663801206856</v>
          </cell>
          <cell r="AR61">
            <v>-9.499063714419492</v>
          </cell>
          <cell r="AS61">
            <v>14.584929725124994</v>
          </cell>
          <cell r="AT61">
            <v>2.7745387086190192</v>
          </cell>
          <cell r="AU61">
            <v>-22.182104049294381</v>
          </cell>
          <cell r="AV61">
            <v>40.403029336852995</v>
          </cell>
          <cell r="AW61">
            <v>-61.436977988128987</v>
          </cell>
          <cell r="AX61">
            <v>121.36451224777898</v>
          </cell>
          <cell r="AY61">
            <v>201.8348269</v>
          </cell>
          <cell r="AZ61">
            <v>452.11191719999999</v>
          </cell>
          <cell r="BA61">
            <v>634.03739156683002</v>
          </cell>
          <cell r="BB61">
            <v>770.14144122412006</v>
          </cell>
          <cell r="BC61">
            <v>836.73323555312004</v>
          </cell>
          <cell r="BD61">
            <v>1038.22326555312</v>
          </cell>
          <cell r="BE61">
            <v>1155.3804721583399</v>
          </cell>
          <cell r="BF61">
            <v>1611.1448098073299</v>
          </cell>
          <cell r="BG61">
            <v>1730.44530980733</v>
          </cell>
          <cell r="BH61">
            <v>189.05524498733706</v>
          </cell>
          <cell r="BI61">
            <v>448.83139900175655</v>
          </cell>
          <cell r="BJ61">
            <v>616.17194364346153</v>
          </cell>
          <cell r="BK61">
            <v>749.50145459213252</v>
          </cell>
          <cell r="BL61">
            <v>838.27535297042687</v>
          </cell>
          <cell r="BM61">
            <v>999.36235363357389</v>
          </cell>
          <cell r="BN61">
            <v>1177.9565382269229</v>
          </cell>
          <cell r="BO61">
            <v>1512.356363628134</v>
          </cell>
          <cell r="BP61">
            <v>1561.2673153548815</v>
          </cell>
          <cell r="BQ61">
            <v>12.779581912662934</v>
          </cell>
          <cell r="BR61">
            <v>3.2805181982434419</v>
          </cell>
          <cell r="BS61">
            <v>17.865447923368492</v>
          </cell>
          <cell r="BT61">
            <v>20.63998663198754</v>
          </cell>
          <cell r="BU61">
            <v>-1.5421174173068266</v>
          </cell>
          <cell r="BV61">
            <v>38.860911919546083</v>
          </cell>
          <cell r="BW61">
            <v>-22.576066068583032</v>
          </cell>
          <cell r="BX61">
            <v>98.788446179195944</v>
          </cell>
          <cell r="BY61">
            <v>169.1779944524485</v>
          </cell>
          <cell r="BZ61">
            <v>22.509</v>
          </cell>
          <cell r="CA61">
            <v>141.8793</v>
          </cell>
          <cell r="CB61">
            <v>144.3749</v>
          </cell>
          <cell r="CC61">
            <v>452.11191719999999</v>
          </cell>
          <cell r="CD61">
            <v>308.76319999999998</v>
          </cell>
          <cell r="CE61">
            <v>143.34871720000001</v>
          </cell>
          <cell r="CF61">
            <v>46.426749431279376</v>
          </cell>
        </row>
        <row r="62">
          <cell r="G62" t="str">
            <v>Más Bonos Dec. 4308, Ley 55 y Dec. 700</v>
          </cell>
          <cell r="L62">
            <v>56.5</v>
          </cell>
          <cell r="N62">
            <v>56.5</v>
          </cell>
          <cell r="O62">
            <v>0</v>
          </cell>
          <cell r="P62">
            <v>0</v>
          </cell>
          <cell r="Q62">
            <v>0</v>
          </cell>
          <cell r="R62">
            <v>0</v>
          </cell>
          <cell r="S62">
            <v>0</v>
          </cell>
          <cell r="T62">
            <v>0</v>
          </cell>
          <cell r="U62">
            <v>0</v>
          </cell>
          <cell r="V62">
            <v>0</v>
          </cell>
          <cell r="W62">
            <v>0</v>
          </cell>
          <cell r="X62">
            <v>0</v>
          </cell>
          <cell r="Y62">
            <v>0</v>
          </cell>
          <cell r="Z62">
            <v>0</v>
          </cell>
          <cell r="AA62">
            <v>0</v>
          </cell>
          <cell r="AB62">
            <v>5.2501547750273832E-2</v>
          </cell>
          <cell r="AC62" t="str">
            <v/>
          </cell>
          <cell r="AD62">
            <v>5.2501547750273832E-2</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0.38190000000000002</v>
          </cell>
          <cell r="CA62">
            <v>10.41</v>
          </cell>
          <cell r="CB62">
            <v>0</v>
          </cell>
          <cell r="CC62">
            <v>0</v>
          </cell>
          <cell r="CD62">
            <v>10.7919</v>
          </cell>
          <cell r="CE62">
            <v>-10.7919</v>
          </cell>
          <cell r="CF62">
            <v>-100</v>
          </cell>
        </row>
        <row r="63">
          <cell r="G63" t="str">
            <v>Otra deuda Interna</v>
          </cell>
          <cell r="L63">
            <v>29.318160043431551</v>
          </cell>
          <cell r="N63">
            <v>29.318160043431551</v>
          </cell>
          <cell r="AA63">
            <v>0</v>
          </cell>
          <cell r="AB63">
            <v>2.7243341229564462E-2</v>
          </cell>
          <cell r="AC63" t="str">
            <v/>
          </cell>
          <cell r="AD63">
            <v>2.7243341229564462E-2</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t="str">
            <v xml:space="preserve">n.a. </v>
          </cell>
        </row>
        <row r="64">
          <cell r="L64">
            <v>680.57764827603137</v>
          </cell>
          <cell r="M64">
            <v>0</v>
          </cell>
          <cell r="N64">
            <v>680.57764827603137</v>
          </cell>
          <cell r="Q64">
            <v>43.784005375927912</v>
          </cell>
          <cell r="R64">
            <v>60.681650563607135</v>
          </cell>
          <cell r="S64">
            <v>27.525569753600006</v>
          </cell>
          <cell r="T64">
            <v>78.137781797757199</v>
          </cell>
          <cell r="U64">
            <v>41.338865411777768</v>
          </cell>
          <cell r="V64">
            <v>81.455837502231233</v>
          </cell>
          <cell r="W64">
            <v>55.291131704666668</v>
          </cell>
          <cell r="X64">
            <v>91.961074939333315</v>
          </cell>
          <cell r="Y64">
            <v>17.176346539000001</v>
          </cell>
          <cell r="Z64">
            <v>63.657850825566527</v>
          </cell>
          <cell r="AA64">
            <v>649.205553338051</v>
          </cell>
          <cell r="AB64">
            <v>0.63241380351740051</v>
          </cell>
          <cell r="AC64" t="str">
            <v/>
          </cell>
          <cell r="AD64">
            <v>0.63241380351740051</v>
          </cell>
          <cell r="AE64">
            <v>33.701909444678712</v>
          </cell>
          <cell r="AF64">
            <v>55.196141967533862</v>
          </cell>
          <cell r="AG64">
            <v>70.083727219199687</v>
          </cell>
          <cell r="AH64">
            <v>73.91212014671423</v>
          </cell>
          <cell r="AI64">
            <v>46.635437527718707</v>
          </cell>
          <cell r="AJ64">
            <v>74.9191532948835</v>
          </cell>
          <cell r="AK64">
            <v>33.701909444678712</v>
          </cell>
          <cell r="AL64">
            <v>99.743682525233297</v>
          </cell>
          <cell r="AM64">
            <v>103.82367229341455</v>
          </cell>
          <cell r="AN64">
            <v>64.673682247613073</v>
          </cell>
          <cell r="AO64">
            <v>30.745509118916949</v>
          </cell>
          <cell r="AP64">
            <v>-3.6077383983453757</v>
          </cell>
          <cell r="AQ64">
            <v>2.9051259107161442</v>
          </cell>
          <cell r="AR64">
            <v>-26.299721843271776</v>
          </cell>
          <cell r="AS64">
            <v>-13.230469583107094</v>
          </cell>
          <cell r="AT64">
            <v>-19.109867774118701</v>
          </cell>
          <cell r="AU64">
            <v>3.2186285028736989</v>
          </cell>
          <cell r="AV64">
            <v>7.6369559670990554</v>
          </cell>
          <cell r="AW64">
            <v>-18.287845023002063</v>
          </cell>
          <cell r="AX64">
            <v>-48.532540588747878</v>
          </cell>
          <cell r="AY64">
            <v>88.195438924583343</v>
          </cell>
          <cell r="AZ64">
            <v>131.97944430051126</v>
          </cell>
          <cell r="BA64">
            <v>192.66109486411841</v>
          </cell>
          <cell r="BB64">
            <v>220.18666461771841</v>
          </cell>
          <cell r="BC64">
            <v>298.32444641547562</v>
          </cell>
          <cell r="BD64">
            <v>339.66331182725338</v>
          </cell>
          <cell r="BE64">
            <v>421.11914932948463</v>
          </cell>
          <cell r="BF64">
            <v>476.4102810341513</v>
          </cell>
          <cell r="BG64">
            <v>568.37135597348458</v>
          </cell>
          <cell r="BH64">
            <v>88.898051412212567</v>
          </cell>
          <cell r="BI64">
            <v>158.98177863141225</v>
          </cell>
          <cell r="BJ64">
            <v>232.89389877812647</v>
          </cell>
          <cell r="BK64">
            <v>279.52933630584516</v>
          </cell>
          <cell r="BL64">
            <v>354.44848960072864</v>
          </cell>
          <cell r="BM64">
            <v>388.15039904540737</v>
          </cell>
          <cell r="BN64">
            <v>487.89408157064065</v>
          </cell>
          <cell r="BO64">
            <v>591.71775386405523</v>
          </cell>
          <cell r="BP64">
            <v>656.39143611166833</v>
          </cell>
          <cell r="BQ64">
            <v>-0.70261248762922435</v>
          </cell>
          <cell r="BR64">
            <v>-27.002334330900993</v>
          </cell>
          <cell r="BS64">
            <v>-40.232803914008059</v>
          </cell>
          <cell r="BT64">
            <v>-59.342671688126757</v>
          </cell>
          <cell r="BU64">
            <v>-56.124043185253015</v>
          </cell>
          <cell r="BV64">
            <v>-48.487087218153988</v>
          </cell>
          <cell r="BW64">
            <v>-66.774932241156023</v>
          </cell>
          <cell r="BX64">
            <v>-115.30747282990393</v>
          </cell>
          <cell r="BY64">
            <v>-88.020080138183744</v>
          </cell>
          <cell r="BZ64">
            <v>28.481604939999997</v>
          </cell>
          <cell r="CA64">
            <v>33.021880260000003</v>
          </cell>
          <cell r="CB64">
            <v>32.124372000000001</v>
          </cell>
          <cell r="CC64">
            <v>131.97944430051126</v>
          </cell>
          <cell r="CD64">
            <v>93.627857199999994</v>
          </cell>
          <cell r="CE64">
            <v>38.351587100511267</v>
          </cell>
          <cell r="CF64">
            <v>40.961726827292246</v>
          </cell>
        </row>
        <row r="65">
          <cell r="G65" t="str">
            <v>Pagos de Gobierno por Tesorería</v>
          </cell>
          <cell r="L65">
            <v>737.07764827603137</v>
          </cell>
          <cell r="N65">
            <v>737.07764827603137</v>
          </cell>
          <cell r="O65">
            <v>30.094171046333337</v>
          </cell>
          <cell r="P65">
            <v>58.101267878250006</v>
          </cell>
          <cell r="Q65">
            <v>43.784005375927912</v>
          </cell>
          <cell r="R65">
            <v>60.681650563607135</v>
          </cell>
          <cell r="S65">
            <v>27.525569753600006</v>
          </cell>
          <cell r="T65">
            <v>78.137781797757199</v>
          </cell>
          <cell r="U65">
            <v>41.338865411777768</v>
          </cell>
          <cell r="V65">
            <v>81.455837502231233</v>
          </cell>
          <cell r="W65">
            <v>55.291131704666668</v>
          </cell>
          <cell r="X65">
            <v>91.961074939333315</v>
          </cell>
          <cell r="Y65">
            <v>17.176346539000001</v>
          </cell>
          <cell r="Z65">
            <v>63.657850825566527</v>
          </cell>
          <cell r="AA65">
            <v>649.205553338051</v>
          </cell>
          <cell r="AB65">
            <v>0.68491535126767444</v>
          </cell>
          <cell r="AC65" t="str">
            <v/>
          </cell>
          <cell r="AD65">
            <v>0.68491535126767444</v>
          </cell>
          <cell r="AE65">
            <v>33.701909444678712</v>
          </cell>
          <cell r="AF65">
            <v>55.196141967533862</v>
          </cell>
          <cell r="AG65">
            <v>70.083727219199687</v>
          </cell>
          <cell r="AH65">
            <v>73.91212014671423</v>
          </cell>
          <cell r="AI65">
            <v>46.635437527718707</v>
          </cell>
          <cell r="AJ65">
            <v>74.9191532948835</v>
          </cell>
          <cell r="AK65">
            <v>33.701909444678712</v>
          </cell>
          <cell r="AL65">
            <v>99.743682525233297</v>
          </cell>
          <cell r="AM65">
            <v>103.82367229341455</v>
          </cell>
          <cell r="AN65">
            <v>64.673682247613073</v>
          </cell>
          <cell r="AO65">
            <v>30.745509118916949</v>
          </cell>
          <cell r="AP65">
            <v>-3.6077383983453757</v>
          </cell>
          <cell r="AQ65">
            <v>2.9051259107161442</v>
          </cell>
          <cell r="AR65">
            <v>-26.299721843271776</v>
          </cell>
          <cell r="AS65">
            <v>-13.230469583107094</v>
          </cell>
          <cell r="AT65">
            <v>-19.109867774118701</v>
          </cell>
          <cell r="AU65">
            <v>3.2186285028736989</v>
          </cell>
          <cell r="AV65">
            <v>7.6369559670990554</v>
          </cell>
          <cell r="AW65">
            <v>-18.287845023002063</v>
          </cell>
          <cell r="AX65">
            <v>-48.532540588747878</v>
          </cell>
          <cell r="AY65">
            <v>88.195438924583343</v>
          </cell>
          <cell r="AZ65">
            <v>131.97944430051126</v>
          </cell>
          <cell r="BA65">
            <v>192.66109486411841</v>
          </cell>
          <cell r="BB65">
            <v>220.18666461771841</v>
          </cell>
          <cell r="BC65">
            <v>298.32444641547562</v>
          </cell>
          <cell r="BD65">
            <v>339.66331182725338</v>
          </cell>
          <cell r="BE65">
            <v>421.11914932948463</v>
          </cell>
          <cell r="BF65">
            <v>476.4102810341513</v>
          </cell>
          <cell r="BG65">
            <v>568.37135597348458</v>
          </cell>
          <cell r="BH65">
            <v>88.898051412212567</v>
          </cell>
          <cell r="BI65">
            <v>158.98177863141225</v>
          </cell>
          <cell r="BJ65">
            <v>232.89389877812647</v>
          </cell>
          <cell r="BK65">
            <v>279.52933630584516</v>
          </cell>
          <cell r="BL65">
            <v>354.44848960072864</v>
          </cell>
          <cell r="BM65">
            <v>388.15039904540737</v>
          </cell>
          <cell r="BN65">
            <v>487.89408157064065</v>
          </cell>
          <cell r="BO65">
            <v>591.71775386405523</v>
          </cell>
          <cell r="BP65">
            <v>656.39143611166833</v>
          </cell>
          <cell r="BQ65">
            <v>-0.70261248762922435</v>
          </cell>
          <cell r="BR65">
            <v>-27.002334330900993</v>
          </cell>
          <cell r="BS65">
            <v>-40.232803914008059</v>
          </cell>
          <cell r="BT65">
            <v>-59.342671688126757</v>
          </cell>
          <cell r="BU65">
            <v>-56.124043185253015</v>
          </cell>
          <cell r="BV65">
            <v>-48.487087218153988</v>
          </cell>
          <cell r="BW65">
            <v>-66.774932241156023</v>
          </cell>
          <cell r="BX65">
            <v>-115.30747282990393</v>
          </cell>
          <cell r="BY65">
            <v>-88.020080138183744</v>
          </cell>
          <cell r="BZ65">
            <v>28.863504939999999</v>
          </cell>
          <cell r="CA65">
            <v>43.43188026</v>
          </cell>
          <cell r="CB65">
            <v>32.124372000000001</v>
          </cell>
          <cell r="CC65">
            <v>131.97944430051126</v>
          </cell>
          <cell r="CD65">
            <v>104.41975719999999</v>
          </cell>
          <cell r="CE65">
            <v>27.559687100511269</v>
          </cell>
          <cell r="CF65">
            <v>26.393172939221564</v>
          </cell>
        </row>
        <row r="66">
          <cell r="G66" t="str">
            <v>Menos Bonos Dec.4308, Ley 55 y Dec. 700</v>
          </cell>
          <cell r="L66">
            <v>-56.5</v>
          </cell>
          <cell r="N66">
            <v>-56.5</v>
          </cell>
          <cell r="AA66">
            <v>0</v>
          </cell>
          <cell r="AB66">
            <v>-5.2501547750273832E-2</v>
          </cell>
          <cell r="AC66" t="str">
            <v/>
          </cell>
          <cell r="AD66">
            <v>-5.2501547750273832E-2</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-0.38190000000000002</v>
          </cell>
          <cell r="CA66">
            <v>-10.41</v>
          </cell>
          <cell r="CB66">
            <v>0</v>
          </cell>
          <cell r="CC66">
            <v>0</v>
          </cell>
          <cell r="CD66">
            <v>-10.7919</v>
          </cell>
          <cell r="CE66">
            <v>10.7919</v>
          </cell>
          <cell r="CF66">
            <v>100</v>
          </cell>
        </row>
        <row r="67">
          <cell r="AX67">
            <v>0</v>
          </cell>
          <cell r="BN67">
            <v>0</v>
          </cell>
          <cell r="BO67">
            <v>0</v>
          </cell>
          <cell r="BP67">
            <v>0</v>
          </cell>
          <cell r="BW67">
            <v>0</v>
          </cell>
          <cell r="BX67">
            <v>0</v>
          </cell>
          <cell r="BY67">
            <v>0</v>
          </cell>
        </row>
        <row r="68">
          <cell r="AX68">
            <v>0</v>
          </cell>
          <cell r="BN68">
            <v>0</v>
          </cell>
          <cell r="BO68">
            <v>0</v>
          </cell>
          <cell r="BP68">
            <v>0</v>
          </cell>
          <cell r="BW68">
            <v>0</v>
          </cell>
          <cell r="BX68">
            <v>0</v>
          </cell>
          <cell r="BY68">
            <v>0</v>
          </cell>
        </row>
        <row r="69">
          <cell r="L69">
            <v>-1815.6808864698833</v>
          </cell>
          <cell r="M69">
            <v>-126.89999999999999</v>
          </cell>
          <cell r="N69">
            <v>-1942.5808864698829</v>
          </cell>
          <cell r="Q69">
            <v>-445.39502127331752</v>
          </cell>
          <cell r="R69">
            <v>-197.47139198043283</v>
          </cell>
          <cell r="S69">
            <v>-279.30859940319692</v>
          </cell>
          <cell r="T69">
            <v>216.32875682968938</v>
          </cell>
          <cell r="U69">
            <v>-98.808356011792966</v>
          </cell>
          <cell r="V69">
            <v>357.72888966002097</v>
          </cell>
          <cell r="W69">
            <v>-484.28307522222531</v>
          </cell>
          <cell r="X69">
            <v>232.22477878003292</v>
          </cell>
          <cell r="Y69">
            <v>-234.47440347146949</v>
          </cell>
          <cell r="Z69">
            <v>67.156309439434835</v>
          </cell>
          <cell r="AA69">
            <v>-1004.6721324599114</v>
          </cell>
          <cell r="AB69">
            <v>-1.6871868453143024</v>
          </cell>
          <cell r="AC69">
            <v>-0.11791940547804865</v>
          </cell>
          <cell r="AD69">
            <v>-1.8051062507923508</v>
          </cell>
          <cell r="AE69">
            <v>-342.42051332934034</v>
          </cell>
          <cell r="AF69">
            <v>406.54498249970561</v>
          </cell>
          <cell r="AG69">
            <v>-666.02484487698825</v>
          </cell>
          <cell r="AH69">
            <v>-139.50961375217958</v>
          </cell>
          <cell r="AI69">
            <v>-349.43378398148525</v>
          </cell>
          <cell r="AJ69">
            <v>139.11951925919243</v>
          </cell>
          <cell r="AK69">
            <v>-147.46399630213136</v>
          </cell>
          <cell r="AL69">
            <v>99.859936070350159</v>
          </cell>
          <cell r="AM69">
            <v>-575.21163207220479</v>
          </cell>
          <cell r="AN69">
            <v>229.40283581708059</v>
          </cell>
          <cell r="AO69">
            <v>-409.18258179056477</v>
          </cell>
          <cell r="AP69">
            <v>-54.90637721763926</v>
          </cell>
          <cell r="AQ69">
            <v>-147.58811175938035</v>
          </cell>
          <cell r="AR69">
            <v>220.62982360367073</v>
          </cell>
          <cell r="AS69">
            <v>-57.961778228253252</v>
          </cell>
          <cell r="AT69">
            <v>70.125184578288327</v>
          </cell>
          <cell r="AU69">
            <v>77.209237570496953</v>
          </cell>
          <cell r="AV69">
            <v>48.655640290338397</v>
          </cell>
          <cell r="AW69">
            <v>257.86895358967081</v>
          </cell>
          <cell r="AX69">
            <v>90.928556849979486</v>
          </cell>
          <cell r="AY69">
            <v>-148.20612437927457</v>
          </cell>
          <cell r="AZ69">
            <v>-601.56673350996152</v>
          </cell>
          <cell r="BA69">
            <v>-802.56271764178473</v>
          </cell>
          <cell r="BB69">
            <v>-1085.4142173241407</v>
          </cell>
          <cell r="BC69">
            <v>-873.8272846691325</v>
          </cell>
          <cell r="BD69">
            <v>-975.3575400406171</v>
          </cell>
          <cell r="BE69">
            <v>-620.74095300323643</v>
          </cell>
          <cell r="BF69">
            <v>-1113.4426234460498</v>
          </cell>
          <cell r="BG69">
            <v>-881.21784466601457</v>
          </cell>
          <cell r="BH69">
            <v>6.1256000615321682</v>
          </cell>
          <cell r="BI69">
            <v>-601.90037570662298</v>
          </cell>
          <cell r="BJ69">
            <v>-741.40998945880165</v>
          </cell>
          <cell r="BK69">
            <v>-1090.8437734402869</v>
          </cell>
          <cell r="BL69">
            <v>-951.72425418109469</v>
          </cell>
          <cell r="BM69">
            <v>-1099.1882504832265</v>
          </cell>
          <cell r="BN69">
            <v>-999.32831441287658</v>
          </cell>
          <cell r="BO69">
            <v>-1574.5399464850814</v>
          </cell>
          <cell r="BP69">
            <v>-1345.1371106680008</v>
          </cell>
          <cell r="BQ69">
            <v>-154.33172444080657</v>
          </cell>
          <cell r="BR69">
            <v>0.33364219666083272</v>
          </cell>
          <cell r="BS69">
            <v>-61.152728182982742</v>
          </cell>
          <cell r="BT69">
            <v>5.4295561161453136</v>
          </cell>
          <cell r="BU69">
            <v>77.8969695119618</v>
          </cell>
          <cell r="BV69">
            <v>123.83071044260976</v>
          </cell>
          <cell r="BW69">
            <v>378.58736140964015</v>
          </cell>
          <cell r="BX69">
            <v>461.09732303903161</v>
          </cell>
          <cell r="BY69">
            <v>463.91926600198622</v>
          </cell>
          <cell r="BZ69">
            <v>-223.73991493999995</v>
          </cell>
          <cell r="CA69">
            <v>204.57784495400028</v>
          </cell>
          <cell r="CB69">
            <v>-284.70977049999999</v>
          </cell>
          <cell r="CC69">
            <v>-601.56673350996152</v>
          </cell>
          <cell r="CD69">
            <v>-303.87184048600056</v>
          </cell>
          <cell r="CE69">
            <v>-297.69489302396096</v>
          </cell>
          <cell r="CF69">
            <v>97.967252427154676</v>
          </cell>
        </row>
        <row r="70">
          <cell r="AX70">
            <v>0</v>
          </cell>
          <cell r="BN70">
            <v>0</v>
          </cell>
          <cell r="BO70">
            <v>0</v>
          </cell>
        </row>
        <row r="71">
          <cell r="L71" t="e">
            <v>#REF!</v>
          </cell>
          <cell r="M71" t="e">
            <v>#REF!</v>
          </cell>
          <cell r="N71" t="e">
            <v>#REF!</v>
          </cell>
          <cell r="Q71">
            <v>404.7786453096212</v>
          </cell>
          <cell r="R71">
            <v>265.80763936931908</v>
          </cell>
          <cell r="S71">
            <v>241.58523357122994</v>
          </cell>
          <cell r="T71">
            <v>258.14069976800113</v>
          </cell>
          <cell r="U71">
            <v>246.26153916855324</v>
          </cell>
          <cell r="V71">
            <v>254.81999630365004</v>
          </cell>
          <cell r="W71">
            <v>217.43101778686668</v>
          </cell>
          <cell r="X71">
            <v>294.67137153757579</v>
          </cell>
          <cell r="Y71">
            <v>292.82296226800003</v>
          </cell>
          <cell r="Z71">
            <v>671.79916426696855</v>
          </cell>
          <cell r="AA71">
            <v>3593.7375903045527</v>
          </cell>
          <cell r="AB71" t="e">
            <v>#VALUE!</v>
          </cell>
          <cell r="AC71" t="e">
            <v>#VALUE!</v>
          </cell>
          <cell r="AD71">
            <v>2.6715333763513591</v>
          </cell>
          <cell r="AE71">
            <v>233.55099404603934</v>
          </cell>
          <cell r="AF71">
            <v>376.67698818875624</v>
          </cell>
          <cell r="AG71">
            <v>566.83263536502761</v>
          </cell>
          <cell r="AH71">
            <v>243.77043497050661</v>
          </cell>
          <cell r="AI71">
            <v>212.5075514024339</v>
          </cell>
          <cell r="AJ71">
            <v>245.09899648454331</v>
          </cell>
          <cell r="AK71">
            <v>225.82966824904469</v>
          </cell>
          <cell r="AL71">
            <v>120.99124882127424</v>
          </cell>
          <cell r="AM71">
            <v>148.21699874495661</v>
          </cell>
          <cell r="AN71">
            <v>318.21058238754068</v>
          </cell>
          <cell r="AO71">
            <v>140.61762979284902</v>
          </cell>
          <cell r="AP71">
            <v>-82.345610499372668</v>
          </cell>
          <cell r="AQ71">
            <v>-82.263050780656215</v>
          </cell>
          <cell r="AR71">
            <v>-162.05399005540642</v>
          </cell>
          <cell r="AS71">
            <v>22.037204398812463</v>
          </cell>
          <cell r="AT71">
            <v>29.077682168796031</v>
          </cell>
          <cell r="AU71">
            <v>13.041703283457821</v>
          </cell>
          <cell r="AV71">
            <v>20.431870919508555</v>
          </cell>
          <cell r="AW71">
            <v>133.8287474823758</v>
          </cell>
          <cell r="AX71">
            <v>69.214019041910063</v>
          </cell>
          <cell r="AY71">
            <v>445.61932095476669</v>
          </cell>
          <cell r="AZ71">
            <v>850.39796626438783</v>
          </cell>
          <cell r="BA71">
            <v>1116.2056056337069</v>
          </cell>
          <cell r="BB71">
            <v>1357.7908392049369</v>
          </cell>
          <cell r="BC71">
            <v>1615.9315389729379</v>
          </cell>
          <cell r="BD71">
            <v>1862.1930781414912</v>
          </cell>
          <cell r="BE71">
            <v>2117.0130744451412</v>
          </cell>
          <cell r="BF71">
            <v>2334.4440922320077</v>
          </cell>
          <cell r="BG71">
            <v>2629.1154637695831</v>
          </cell>
          <cell r="BH71">
            <v>610.22798223479549</v>
          </cell>
          <cell r="BI71">
            <v>1177.0606175998232</v>
          </cell>
          <cell r="BJ71">
            <v>1420.8310525703296</v>
          </cell>
          <cell r="BK71">
            <v>1633.3386039727634</v>
          </cell>
          <cell r="BL71">
            <v>1878.4376004573069</v>
          </cell>
          <cell r="BM71">
            <v>2104.2672687063509</v>
          </cell>
          <cell r="BN71">
            <v>2225.2585175276258</v>
          </cell>
          <cell r="BO71">
            <v>2373.4755162725824</v>
          </cell>
          <cell r="BP71">
            <v>2691.6860986601232</v>
          </cell>
          <cell r="BQ71">
            <v>-164.60866128002888</v>
          </cell>
          <cell r="BR71">
            <v>-326.66265133543533</v>
          </cell>
          <cell r="BS71">
            <v>-304.62544693662289</v>
          </cell>
          <cell r="BT71">
            <v>-275.54776476782672</v>
          </cell>
          <cell r="BU71">
            <v>-262.5060614843689</v>
          </cell>
          <cell r="BV71">
            <v>-242.07419056486026</v>
          </cell>
          <cell r="BW71">
            <v>-108.2454430824846</v>
          </cell>
          <cell r="BX71">
            <v>-39.03142404057462</v>
          </cell>
          <cell r="BY71">
            <v>-62.570634890540077</v>
          </cell>
          <cell r="BZ71" t="e">
            <v>#REF!</v>
          </cell>
          <cell r="CA71" t="e">
            <v>#REF!</v>
          </cell>
          <cell r="CB71" t="e">
            <v>#REF!</v>
          </cell>
          <cell r="CC71">
            <v>850.39796626438783</v>
          </cell>
          <cell r="CD71" t="e">
            <v>#REF!</v>
          </cell>
          <cell r="CE71" t="e">
            <v>#REF!</v>
          </cell>
          <cell r="CF71" t="e">
            <v>#REF!</v>
          </cell>
        </row>
        <row r="72">
          <cell r="E72" t="str">
            <v>Pagos de Tesorería</v>
          </cell>
          <cell r="L72">
            <v>3514.7940188775583</v>
          </cell>
          <cell r="N72">
            <v>3514.7940188775583</v>
          </cell>
          <cell r="O72">
            <v>174.4589679</v>
          </cell>
          <cell r="P72">
            <v>344.26113530559996</v>
          </cell>
          <cell r="Q72">
            <v>446.07478770851003</v>
          </cell>
          <cell r="R72">
            <v>286.61469061841001</v>
          </cell>
          <cell r="S72">
            <v>263.49508699622999</v>
          </cell>
          <cell r="T72">
            <v>288.22889391689</v>
          </cell>
          <cell r="U72">
            <v>292.79478604021995</v>
          </cell>
          <cell r="V72">
            <v>298.83532918865001</v>
          </cell>
          <cell r="W72">
            <v>278.4794187402</v>
          </cell>
          <cell r="X72">
            <v>354.03609999999998</v>
          </cell>
          <cell r="Y72">
            <v>335.36387422000001</v>
          </cell>
          <cell r="Z72">
            <v>709.13866272752421</v>
          </cell>
          <cell r="AA72">
            <v>4071.7817333622338</v>
          </cell>
          <cell r="AB72">
            <v>3.2660553276898581</v>
          </cell>
          <cell r="AC72" t="str">
            <v/>
          </cell>
          <cell r="AD72">
            <v>3.2660553276898581</v>
          </cell>
          <cell r="AE72">
            <v>231.0275881636864</v>
          </cell>
          <cell r="AF72">
            <v>368.1</v>
          </cell>
          <cell r="AG72">
            <v>592.79030718091258</v>
          </cell>
          <cell r="AH72">
            <v>252.99941535282608</v>
          </cell>
          <cell r="AI72">
            <v>220.53273162984632</v>
          </cell>
          <cell r="AJ72">
            <v>288.03308634826163</v>
          </cell>
          <cell r="AK72">
            <v>271.8774886372143</v>
          </cell>
          <cell r="AL72">
            <v>226.96551584542317</v>
          </cell>
          <cell r="AM72">
            <v>234.8606634210708</v>
          </cell>
          <cell r="AN72">
            <v>369.89976459090315</v>
          </cell>
          <cell r="AO72">
            <v>247.67866217899549</v>
          </cell>
          <cell r="AP72">
            <v>-56.568620263686398</v>
          </cell>
          <cell r="AQ72">
            <v>-23.838864694400058</v>
          </cell>
          <cell r="AR72">
            <v>-146.71551947240255</v>
          </cell>
          <cell r="AS72">
            <v>33.615275265583932</v>
          </cell>
          <cell r="AT72">
            <v>42.962355366383662</v>
          </cell>
          <cell r="AU72">
            <v>0.19580756862836779</v>
          </cell>
          <cell r="AV72">
            <v>20.917297403005648</v>
          </cell>
          <cell r="AW72">
            <v>71.869813343226838</v>
          </cell>
          <cell r="AX72">
            <v>43.618755319129207</v>
          </cell>
          <cell r="AY72">
            <v>518.72010320560003</v>
          </cell>
          <cell r="AZ72">
            <v>964.79489091411006</v>
          </cell>
          <cell r="BA72">
            <v>1251.40958153252</v>
          </cell>
          <cell r="BB72">
            <v>1514.9046685287499</v>
          </cell>
          <cell r="BC72">
            <v>1803.1335624456399</v>
          </cell>
          <cell r="BD72">
            <v>2095.9283484858597</v>
          </cell>
          <cell r="BE72">
            <v>2394.7636776745098</v>
          </cell>
          <cell r="BF72">
            <v>2673.2430964147097</v>
          </cell>
          <cell r="BG72">
            <v>3027.2791964147095</v>
          </cell>
          <cell r="BH72">
            <v>599.12758816368637</v>
          </cell>
          <cell r="BI72">
            <v>1191.9178953445989</v>
          </cell>
          <cell r="BJ72">
            <v>1444.9173106974249</v>
          </cell>
          <cell r="BK72">
            <v>1665.4500423272711</v>
          </cell>
          <cell r="BL72">
            <v>1953.4831286755327</v>
          </cell>
          <cell r="BM72">
            <v>2225.3606173127469</v>
          </cell>
          <cell r="BN72">
            <v>2452.3261331581698</v>
          </cell>
          <cell r="BO72">
            <v>2687.1867965792408</v>
          </cell>
          <cell r="BP72">
            <v>3057.0865611701438</v>
          </cell>
          <cell r="BQ72">
            <v>-80.407484958086343</v>
          </cell>
          <cell r="BR72">
            <v>-227.12300443048889</v>
          </cell>
          <cell r="BS72">
            <v>-193.50772916490496</v>
          </cell>
          <cell r="BT72">
            <v>-150.54537379852127</v>
          </cell>
          <cell r="BU72">
            <v>-150.34956622989284</v>
          </cell>
          <cell r="BV72">
            <v>-129.43226882688714</v>
          </cell>
          <cell r="BW72">
            <v>-57.56245548365996</v>
          </cell>
          <cell r="BX72">
            <v>-13.943700164531037</v>
          </cell>
          <cell r="BY72">
            <v>-29.807364755434264</v>
          </cell>
          <cell r="BZ72">
            <v>134.78899999999999</v>
          </cell>
          <cell r="CA72">
            <v>242.17066299999999</v>
          </cell>
          <cell r="CB72">
            <v>403.38990000000001</v>
          </cell>
          <cell r="CC72">
            <v>964.79489091411006</v>
          </cell>
          <cell r="CD72">
            <v>780.34956299999999</v>
          </cell>
          <cell r="CE72">
            <v>184.44532791411007</v>
          </cell>
          <cell r="CF72">
            <v>23.636244147433459</v>
          </cell>
        </row>
        <row r="73">
          <cell r="E73" t="str">
            <v>Más:</v>
          </cell>
          <cell r="N73">
            <v>0</v>
          </cell>
          <cell r="O73">
            <v>6.5908008734032561E-2</v>
          </cell>
          <cell r="P73">
            <v>7.2595369806343762E-2</v>
          </cell>
          <cell r="Q73">
            <v>2.324987539434778E-2</v>
          </cell>
          <cell r="R73">
            <v>4.5977750838899697E-2</v>
          </cell>
          <cell r="S73">
            <v>0.23697525922649668</v>
          </cell>
          <cell r="T73">
            <v>1.1475324538318397E-2</v>
          </cell>
          <cell r="U73">
            <v>0.11748336283242911</v>
          </cell>
          <cell r="V73">
            <v>0.20668019247664488</v>
          </cell>
          <cell r="W73">
            <v>6.0581415522627108E-2</v>
          </cell>
          <cell r="X73">
            <v>0.15907344062985995</v>
          </cell>
          <cell r="Y73">
            <v>0</v>
          </cell>
          <cell r="Z73">
            <v>0</v>
          </cell>
          <cell r="AB73" t="str">
            <v/>
          </cell>
          <cell r="AC73" t="str">
            <v/>
          </cell>
          <cell r="AD73" t="str">
            <v/>
          </cell>
          <cell r="AP73">
            <v>0</v>
          </cell>
          <cell r="AQ73">
            <v>0</v>
          </cell>
          <cell r="AR73">
            <v>0</v>
          </cell>
          <cell r="AS73">
            <v>0</v>
          </cell>
          <cell r="AT73">
            <v>0</v>
          </cell>
          <cell r="AU73">
            <v>0</v>
          </cell>
          <cell r="AV73">
            <v>0</v>
          </cell>
          <cell r="AW73">
            <v>0</v>
          </cell>
          <cell r="AX73">
            <v>0</v>
          </cell>
          <cell r="BN73">
            <v>0</v>
          </cell>
          <cell r="BO73">
            <v>0</v>
          </cell>
        </row>
        <row r="74">
          <cell r="F74" t="str">
            <v>Pagos en el Exterior Diferente de Militares</v>
          </cell>
          <cell r="L74">
            <v>0</v>
          </cell>
          <cell r="M74">
            <v>145.19999999999999</v>
          </cell>
          <cell r="N74">
            <v>145.19999999999999</v>
          </cell>
          <cell r="O74">
            <v>2.5923078533333341</v>
          </cell>
          <cell r="P74">
            <v>2.855336565</v>
          </cell>
          <cell r="Q74">
            <v>0.91446905666666689</v>
          </cell>
          <cell r="R74">
            <v>1.8084066999999997</v>
          </cell>
          <cell r="S74">
            <v>9.3207614270000025</v>
          </cell>
          <cell r="T74">
            <v>0.45134991166666677</v>
          </cell>
          <cell r="U74">
            <v>4.6208806783333314</v>
          </cell>
          <cell r="V74">
            <v>8.1291894016666664</v>
          </cell>
          <cell r="W74">
            <v>2.3828011533333333</v>
          </cell>
          <cell r="X74">
            <v>6.256710486666667</v>
          </cell>
          <cell r="Y74">
            <v>0</v>
          </cell>
          <cell r="Z74">
            <v>0</v>
          </cell>
          <cell r="AA74">
            <v>39.332213233666671</v>
          </cell>
          <cell r="AB74" t="str">
            <v/>
          </cell>
          <cell r="AC74">
            <v>0.13492433156353556</v>
          </cell>
          <cell r="AD74">
            <v>0.13492433156353556</v>
          </cell>
          <cell r="AE74">
            <v>15.65</v>
          </cell>
          <cell r="AF74">
            <v>40.5</v>
          </cell>
          <cell r="AG74">
            <v>12.904</v>
          </cell>
          <cell r="AH74">
            <v>13.2</v>
          </cell>
          <cell r="AI74">
            <v>14.2</v>
          </cell>
          <cell r="AJ74">
            <v>15.2</v>
          </cell>
          <cell r="AK74">
            <v>16.2</v>
          </cell>
          <cell r="AL74">
            <v>17.2</v>
          </cell>
          <cell r="AM74">
            <v>18.2</v>
          </cell>
          <cell r="AN74">
            <v>19.2</v>
          </cell>
          <cell r="AO74">
            <v>20.2</v>
          </cell>
          <cell r="AP74">
            <v>-13.057692146666666</v>
          </cell>
          <cell r="AQ74">
            <v>-37.644663434999998</v>
          </cell>
          <cell r="AR74">
            <v>-11.989530943333333</v>
          </cell>
          <cell r="AS74">
            <v>-11.3915933</v>
          </cell>
          <cell r="AT74">
            <v>-4.8792385729999967</v>
          </cell>
          <cell r="AU74">
            <v>-14.748650088333333</v>
          </cell>
          <cell r="AV74">
            <v>-11.579119321666667</v>
          </cell>
          <cell r="AW74">
            <v>-9.0708105983333329</v>
          </cell>
          <cell r="AX74">
            <v>-15.817198846666667</v>
          </cell>
          <cell r="AY74">
            <v>5.4476444183333346</v>
          </cell>
          <cell r="AZ74">
            <v>6.362113475000001</v>
          </cell>
          <cell r="BA74">
            <v>8.1705201750000001</v>
          </cell>
          <cell r="BB74">
            <v>17.491281602000001</v>
          </cell>
          <cell r="BC74">
            <v>17.942631513666669</v>
          </cell>
          <cell r="BD74">
            <v>22.563512192000001</v>
          </cell>
          <cell r="BE74">
            <v>30.692701593666669</v>
          </cell>
          <cell r="BF74">
            <v>33.075502747000002</v>
          </cell>
          <cell r="BG74">
            <v>39.332213233666671</v>
          </cell>
          <cell r="BH74">
            <v>56.15</v>
          </cell>
          <cell r="BI74">
            <v>69.054000000000002</v>
          </cell>
          <cell r="BJ74">
            <v>82.254000000000005</v>
          </cell>
          <cell r="BK74">
            <v>96.454000000000008</v>
          </cell>
          <cell r="BL74">
            <v>111.65400000000001</v>
          </cell>
          <cell r="BM74">
            <v>127.85400000000001</v>
          </cell>
          <cell r="BN74">
            <v>145.054</v>
          </cell>
          <cell r="BO74">
            <v>163.25399999999999</v>
          </cell>
          <cell r="BP74">
            <v>182.45399999999998</v>
          </cell>
          <cell r="BQ74">
            <v>-50.702355581666666</v>
          </cell>
          <cell r="BR74">
            <v>-62.691886525000001</v>
          </cell>
          <cell r="BS74">
            <v>-74.083479825000012</v>
          </cell>
          <cell r="BT74">
            <v>-78.962718398000007</v>
          </cell>
          <cell r="BU74">
            <v>-93.711368486333342</v>
          </cell>
          <cell r="BV74">
            <v>-105.29048780800001</v>
          </cell>
          <cell r="BW74">
            <v>-114.36129840633333</v>
          </cell>
          <cell r="BX74">
            <v>-130.17849725299999</v>
          </cell>
          <cell r="BY74">
            <v>-143.12178676633332</v>
          </cell>
          <cell r="BZ74">
            <v>1.2943359999999999</v>
          </cell>
          <cell r="CA74">
            <v>7.2988343999999987</v>
          </cell>
          <cell r="CB74">
            <v>3.3513150000000005</v>
          </cell>
          <cell r="CC74">
            <v>6.362113475000001</v>
          </cell>
          <cell r="CD74">
            <v>11.944485399999998</v>
          </cell>
          <cell r="CE74">
            <v>-5.5823719249999968</v>
          </cell>
          <cell r="CF74">
            <v>-46.735976796455361</v>
          </cell>
        </row>
        <row r="75">
          <cell r="F75" t="str">
            <v>Menos Transferencias</v>
          </cell>
          <cell r="L75">
            <v>-346.29999999999995</v>
          </cell>
          <cell r="M75">
            <v>0</v>
          </cell>
          <cell r="N75">
            <v>-346.29999999999995</v>
          </cell>
          <cell r="O75">
            <v>-11.120173399999999</v>
          </cell>
          <cell r="P75">
            <v>-29.652177999999999</v>
          </cell>
          <cell r="Q75">
            <v>-10.730986</v>
          </cell>
          <cell r="R75">
            <v>-5.4240189999999995</v>
          </cell>
          <cell r="S75">
            <v>-14.851702899999999</v>
          </cell>
          <cell r="T75">
            <v>-13.2781456</v>
          </cell>
          <cell r="U75">
            <v>-40.577399999999997</v>
          </cell>
          <cell r="V75">
            <v>-20.845372000000001</v>
          </cell>
          <cell r="W75">
            <v>-31.52</v>
          </cell>
          <cell r="X75">
            <v>-31.52</v>
          </cell>
          <cell r="Y75">
            <v>-15.52</v>
          </cell>
          <cell r="Z75">
            <v>-10.82</v>
          </cell>
          <cell r="AA75">
            <v>-235.85997690000002</v>
          </cell>
          <cell r="AB75">
            <v>-0.32179267231716502</v>
          </cell>
          <cell r="AC75" t="str">
            <v/>
          </cell>
          <cell r="AD75">
            <v>-0.32179267231716502</v>
          </cell>
          <cell r="AE75">
            <v>0</v>
          </cell>
          <cell r="AF75">
            <v>-1.4073423994790084</v>
          </cell>
          <cell r="AG75">
            <v>-8.4886565217673784</v>
          </cell>
          <cell r="AH75">
            <v>-13.209656852907692</v>
          </cell>
          <cell r="AI75">
            <v>-1.1169049332947674</v>
          </cell>
          <cell r="AJ75">
            <v>-26.974367510777135</v>
          </cell>
          <cell r="AK75">
            <v>-23.559686270522533</v>
          </cell>
          <cell r="AL75">
            <v>-99.783051730031275</v>
          </cell>
          <cell r="AM75">
            <v>-67.327521146702423</v>
          </cell>
          <cell r="AN75">
            <v>-33.373038673950695</v>
          </cell>
          <cell r="AO75">
            <v>-35.530150621440647</v>
          </cell>
          <cell r="AP75">
            <v>-11.120173399999999</v>
          </cell>
          <cell r="AQ75">
            <v>-28.24483560052099</v>
          </cell>
          <cell r="AR75">
            <v>-2.2423294782326213</v>
          </cell>
          <cell r="AS75">
            <v>7.7856378529076924</v>
          </cell>
          <cell r="AT75">
            <v>-13.734797966705232</v>
          </cell>
          <cell r="AU75">
            <v>13.696221910777135</v>
          </cell>
          <cell r="AV75">
            <v>-17.017713729477464</v>
          </cell>
          <cell r="AW75">
            <v>78.937679730031277</v>
          </cell>
          <cell r="AX75">
            <v>35.807521146702427</v>
          </cell>
          <cell r="AY75">
            <v>-40.772351400000005</v>
          </cell>
          <cell r="AZ75">
            <v>-51.503337399999999</v>
          </cell>
          <cell r="BA75">
            <v>-56.927356400000001</v>
          </cell>
          <cell r="BB75">
            <v>-71.7790593</v>
          </cell>
          <cell r="BC75">
            <v>-85.057204900000002</v>
          </cell>
          <cell r="BD75">
            <v>-125.6346049</v>
          </cell>
          <cell r="BE75">
            <v>-146.4799769</v>
          </cell>
          <cell r="BF75">
            <v>-177.99997689999998</v>
          </cell>
          <cell r="BG75">
            <v>-209.51997689999999</v>
          </cell>
          <cell r="BH75">
            <v>-1.4073423994790084</v>
          </cell>
          <cell r="BI75">
            <v>-9.8959989212463881</v>
          </cell>
          <cell r="BJ75">
            <v>-23.10565577415408</v>
          </cell>
          <cell r="BK75">
            <v>-24.222560707448849</v>
          </cell>
          <cell r="BL75">
            <v>-51.196928218225978</v>
          </cell>
          <cell r="BM75">
            <v>-74.756614488748511</v>
          </cell>
          <cell r="BN75">
            <v>-174.53966621877979</v>
          </cell>
          <cell r="BO75">
            <v>-241.86718736548221</v>
          </cell>
          <cell r="BP75">
            <v>-275.24022603943291</v>
          </cell>
          <cell r="BQ75">
            <v>-39.365009000520992</v>
          </cell>
          <cell r="BR75">
            <v>-41.607338478753611</v>
          </cell>
          <cell r="BS75">
            <v>-33.821700625845921</v>
          </cell>
          <cell r="BT75">
            <v>-47.556498592551151</v>
          </cell>
          <cell r="BU75">
            <v>-33.860276681774018</v>
          </cell>
          <cell r="BV75">
            <v>-50.877990411251474</v>
          </cell>
          <cell r="BW75">
            <v>28.059689318779789</v>
          </cell>
          <cell r="BX75">
            <v>63.867210465482231</v>
          </cell>
          <cell r="BY75">
            <v>65.720249139432923</v>
          </cell>
          <cell r="BZ75">
            <v>-5.0979999999999999</v>
          </cell>
          <cell r="CA75">
            <v>-1.7290000000000001</v>
          </cell>
          <cell r="CB75">
            <v>-32.038000000000004</v>
          </cell>
          <cell r="CC75">
            <v>-51.503337399999999</v>
          </cell>
          <cell r="CD75">
            <v>-38.865000000000002</v>
          </cell>
          <cell r="CE75">
            <v>-12.638337399999998</v>
          </cell>
          <cell r="CF75">
            <v>32.518557571079377</v>
          </cell>
        </row>
        <row r="76">
          <cell r="G76" t="str">
            <v>Subsidio Tarifas Eléctricas</v>
          </cell>
          <cell r="L76">
            <v>-97.1</v>
          </cell>
          <cell r="N76">
            <v>-97.1</v>
          </cell>
          <cell r="O76">
            <v>0</v>
          </cell>
          <cell r="P76">
            <v>0</v>
          </cell>
          <cell r="Q76">
            <v>0</v>
          </cell>
          <cell r="R76">
            <v>0</v>
          </cell>
          <cell r="S76">
            <v>0</v>
          </cell>
          <cell r="T76">
            <v>0</v>
          </cell>
          <cell r="U76">
            <v>-27</v>
          </cell>
          <cell r="V76">
            <v>-10.054</v>
          </cell>
          <cell r="W76">
            <v>-27</v>
          </cell>
          <cell r="X76">
            <v>-27</v>
          </cell>
          <cell r="Y76">
            <v>-6</v>
          </cell>
          <cell r="Z76">
            <v>0</v>
          </cell>
          <cell r="AA76">
            <v>-97.054000000000002</v>
          </cell>
          <cell r="AB76">
            <v>-9.0228323655780332E-2</v>
          </cell>
          <cell r="AC76" t="str">
            <v/>
          </cell>
          <cell r="AD76">
            <v>-9.0228323655780332E-2</v>
          </cell>
          <cell r="AE76">
            <v>0</v>
          </cell>
          <cell r="AF76">
            <v>-1.398905882451426</v>
          </cell>
          <cell r="AG76">
            <v>-8.3462902969269273</v>
          </cell>
          <cell r="AH76">
            <v>-0.29018558979381703</v>
          </cell>
          <cell r="AI76">
            <v>-0.1804515432331299</v>
          </cell>
          <cell r="AJ76">
            <v>-26.186607733326635</v>
          </cell>
          <cell r="AK76">
            <v>-7.3156031040458071E-3</v>
          </cell>
          <cell r="AL76">
            <v>-26.010220414040198</v>
          </cell>
          <cell r="AM76">
            <v>-34.680022937123816</v>
          </cell>
          <cell r="AN76">
            <v>0</v>
          </cell>
          <cell r="AO76">
            <v>0</v>
          </cell>
          <cell r="AP76">
            <v>0</v>
          </cell>
          <cell r="AQ76">
            <v>1.398905882451426</v>
          </cell>
          <cell r="AR76">
            <v>8.3462902969269273</v>
          </cell>
          <cell r="AS76">
            <v>0.29018558979381703</v>
          </cell>
          <cell r="AT76">
            <v>0.1804515432331299</v>
          </cell>
          <cell r="AU76">
            <v>26.186607733326635</v>
          </cell>
          <cell r="AV76">
            <v>-26.992684396895953</v>
          </cell>
          <cell r="AW76">
            <v>15.956220414040198</v>
          </cell>
          <cell r="AX76">
            <v>7.680022937123816</v>
          </cell>
          <cell r="AY76">
            <v>0</v>
          </cell>
          <cell r="AZ76">
            <v>0</v>
          </cell>
          <cell r="BA76">
            <v>0</v>
          </cell>
          <cell r="BB76">
            <v>0</v>
          </cell>
          <cell r="BC76">
            <v>0</v>
          </cell>
          <cell r="BD76">
            <v>-27</v>
          </cell>
          <cell r="BE76">
            <v>-37.054000000000002</v>
          </cell>
          <cell r="BF76">
            <v>-64.054000000000002</v>
          </cell>
          <cell r="BG76">
            <v>-91.054000000000002</v>
          </cell>
          <cell r="BH76">
            <v>-1.398905882451426</v>
          </cell>
          <cell r="BI76">
            <v>-9.7451961793783539</v>
          </cell>
          <cell r="BJ76">
            <v>-10.035381769172171</v>
          </cell>
          <cell r="BK76">
            <v>-10.2158333124053</v>
          </cell>
          <cell r="BL76">
            <v>-36.402441045731933</v>
          </cell>
          <cell r="BM76">
            <v>-36.40975664883598</v>
          </cell>
          <cell r="BN76">
            <v>-62.419977062876178</v>
          </cell>
          <cell r="BO76">
            <v>-97.1</v>
          </cell>
          <cell r="BP76">
            <v>-97.1</v>
          </cell>
          <cell r="BQ76">
            <v>1.398905882451426</v>
          </cell>
          <cell r="BR76">
            <v>9.7451961793783539</v>
          </cell>
          <cell r="BS76">
            <v>10.035381769172171</v>
          </cell>
          <cell r="BT76">
            <v>10.2158333124053</v>
          </cell>
          <cell r="BU76">
            <v>36.402441045731933</v>
          </cell>
          <cell r="BV76">
            <v>9.4097566488359803</v>
          </cell>
          <cell r="BW76">
            <v>25.365977062876176</v>
          </cell>
          <cell r="BX76">
            <v>33.045999999999992</v>
          </cell>
          <cell r="BY76">
            <v>6.0459999999999923</v>
          </cell>
          <cell r="BZ76">
            <v>0</v>
          </cell>
          <cell r="CA76">
            <v>-1.7210000000000001</v>
          </cell>
          <cell r="CB76">
            <v>-10.268000000000001</v>
          </cell>
          <cell r="CC76">
            <v>0</v>
          </cell>
          <cell r="CD76">
            <v>-11.989000000000001</v>
          </cell>
          <cell r="CE76">
            <v>11.989000000000001</v>
          </cell>
          <cell r="CF76">
            <v>-100</v>
          </cell>
        </row>
        <row r="77">
          <cell r="G77" t="str">
            <v>Fosga</v>
          </cell>
          <cell r="L77">
            <v>0</v>
          </cell>
          <cell r="N77">
            <v>0</v>
          </cell>
          <cell r="O77">
            <v>0</v>
          </cell>
          <cell r="P77">
            <v>-12.5</v>
          </cell>
          <cell r="Q77">
            <v>-3.8</v>
          </cell>
          <cell r="R77">
            <v>-4.87</v>
          </cell>
          <cell r="S77">
            <v>-5.7</v>
          </cell>
          <cell r="T77">
            <v>-7.2160000000000002</v>
          </cell>
          <cell r="U77">
            <v>-4.5199999999999996</v>
          </cell>
          <cell r="V77">
            <v>-3</v>
          </cell>
          <cell r="W77">
            <v>-4.5199999999999996</v>
          </cell>
          <cell r="X77">
            <v>-4.5199999999999996</v>
          </cell>
          <cell r="Y77">
            <v>-9.52</v>
          </cell>
          <cell r="Z77">
            <v>-10.82</v>
          </cell>
          <cell r="AA77">
            <v>-70.98599999999999</v>
          </cell>
          <cell r="AB77" t="str">
            <v/>
          </cell>
          <cell r="AC77" t="str">
            <v/>
          </cell>
          <cell r="AD77" t="str">
            <v/>
          </cell>
          <cell r="AE77">
            <v>0</v>
          </cell>
          <cell r="AF77">
            <v>0</v>
          </cell>
          <cell r="AG77">
            <v>0</v>
          </cell>
          <cell r="AH77">
            <v>0</v>
          </cell>
          <cell r="AI77">
            <v>0</v>
          </cell>
          <cell r="AJ77">
            <v>0</v>
          </cell>
          <cell r="AK77">
            <v>0</v>
          </cell>
          <cell r="AL77">
            <v>0</v>
          </cell>
          <cell r="AM77">
            <v>0</v>
          </cell>
          <cell r="AN77">
            <v>0</v>
          </cell>
          <cell r="AO77">
            <v>0</v>
          </cell>
          <cell r="AP77">
            <v>0</v>
          </cell>
          <cell r="AQ77">
            <v>-12.5</v>
          </cell>
          <cell r="AR77">
            <v>-3.8</v>
          </cell>
          <cell r="AS77">
            <v>-4.87</v>
          </cell>
          <cell r="AT77">
            <v>-5.7</v>
          </cell>
          <cell r="AU77">
            <v>-7.2160000000000002</v>
          </cell>
          <cell r="AV77">
            <v>-4.5199999999999996</v>
          </cell>
          <cell r="AW77">
            <v>-3</v>
          </cell>
          <cell r="AX77">
            <v>-4.5199999999999996</v>
          </cell>
          <cell r="AY77">
            <v>-12.5</v>
          </cell>
          <cell r="AZ77">
            <v>-16.3</v>
          </cell>
          <cell r="BA77">
            <v>-21.17</v>
          </cell>
          <cell r="BB77">
            <v>-26.87</v>
          </cell>
          <cell r="BC77">
            <v>-34.085999999999999</v>
          </cell>
          <cell r="BD77">
            <v>-38.605999999999995</v>
          </cell>
          <cell r="BE77">
            <v>-41.605999999999995</v>
          </cell>
          <cell r="BF77">
            <v>-46.125999999999991</v>
          </cell>
          <cell r="BG77">
            <v>-50.645999999999987</v>
          </cell>
          <cell r="BH77">
            <v>0</v>
          </cell>
          <cell r="BI77">
            <v>0</v>
          </cell>
          <cell r="BJ77">
            <v>0</v>
          </cell>
          <cell r="BK77">
            <v>0</v>
          </cell>
          <cell r="BL77">
            <v>0</v>
          </cell>
          <cell r="BM77">
            <v>0</v>
          </cell>
          <cell r="BN77">
            <v>0</v>
          </cell>
          <cell r="BO77">
            <v>0</v>
          </cell>
          <cell r="BP77">
            <v>0</v>
          </cell>
          <cell r="BQ77">
            <v>-12.5</v>
          </cell>
          <cell r="BR77">
            <v>-16.3</v>
          </cell>
          <cell r="BS77">
            <v>-21.17</v>
          </cell>
          <cell r="BT77">
            <v>-26.87</v>
          </cell>
          <cell r="BU77">
            <v>-34.085999999999999</v>
          </cell>
          <cell r="BV77">
            <v>-38.605999999999995</v>
          </cell>
          <cell r="BW77">
            <v>-41.605999999999995</v>
          </cell>
          <cell r="BX77">
            <v>-46.125999999999991</v>
          </cell>
          <cell r="BY77">
            <v>-50.645999999999987</v>
          </cell>
          <cell r="BZ77">
            <v>0</v>
          </cell>
          <cell r="CA77">
            <v>0</v>
          </cell>
          <cell r="CB77">
            <v>-20.8</v>
          </cell>
          <cell r="CC77">
            <v>-16.3</v>
          </cell>
          <cell r="CD77">
            <v>-20.8</v>
          </cell>
          <cell r="CE77">
            <v>4.5</v>
          </cell>
          <cell r="CF77">
            <v>21.634615384615383</v>
          </cell>
        </row>
        <row r="78">
          <cell r="G78" t="str">
            <v>Ancianos Indigentes</v>
          </cell>
          <cell r="L78">
            <v>-29</v>
          </cell>
          <cell r="N78">
            <v>-29</v>
          </cell>
          <cell r="O78">
            <v>-1.8348734</v>
          </cell>
          <cell r="P78">
            <v>-5.9269780000000001</v>
          </cell>
          <cell r="Q78">
            <v>-2.8377759999999999</v>
          </cell>
          <cell r="R78">
            <v>-0.37401899999999999</v>
          </cell>
          <cell r="S78">
            <v>-4.4152029000000006</v>
          </cell>
          <cell r="T78">
            <v>-1.4326456000000001</v>
          </cell>
          <cell r="U78">
            <v>-0.22790000000000002</v>
          </cell>
          <cell r="V78">
            <v>-7.6561999999999991E-2</v>
          </cell>
          <cell r="W78">
            <v>0</v>
          </cell>
          <cell r="X78">
            <v>0</v>
          </cell>
          <cell r="Y78">
            <v>0</v>
          </cell>
          <cell r="Z78">
            <v>0</v>
          </cell>
          <cell r="AA78">
            <v>-17.125956900000002</v>
          </cell>
          <cell r="AB78">
            <v>-2.6947697075361789E-2</v>
          </cell>
          <cell r="AC78" t="str">
            <v/>
          </cell>
          <cell r="AD78">
            <v>-2.6947697075361789E-2</v>
          </cell>
          <cell r="AE78">
            <v>0</v>
          </cell>
          <cell r="AF78">
            <v>-8.4365170275823194E-3</v>
          </cell>
          <cell r="AG78">
            <v>-0.14236622484045164</v>
          </cell>
          <cell r="AH78">
            <v>-12.919471263113875</v>
          </cell>
          <cell r="AI78">
            <v>-0.93645339006163753</v>
          </cell>
          <cell r="AJ78">
            <v>-0.78775977745049908</v>
          </cell>
          <cell r="AK78">
            <v>-0.33851524573174058</v>
          </cell>
          <cell r="AL78">
            <v>-1.6440662557501047</v>
          </cell>
          <cell r="AM78">
            <v>-1.4331533300605466</v>
          </cell>
          <cell r="AN78">
            <v>-2.1586937944326263</v>
          </cell>
          <cell r="AO78">
            <v>-4.3158057419225804</v>
          </cell>
          <cell r="AP78">
            <v>-1.8348734</v>
          </cell>
          <cell r="AQ78">
            <v>-5.9185414829724179</v>
          </cell>
          <cell r="AR78">
            <v>-2.6954097751595483</v>
          </cell>
          <cell r="AS78">
            <v>12.545452263113875</v>
          </cell>
          <cell r="AT78">
            <v>-3.4787495099383632</v>
          </cell>
          <cell r="AU78">
            <v>-0.644885822549501</v>
          </cell>
          <cell r="AV78">
            <v>0.11061524573174056</v>
          </cell>
          <cell r="AW78">
            <v>1.5675042557501047</v>
          </cell>
          <cell r="AX78">
            <v>1.4331533300605466</v>
          </cell>
          <cell r="AY78">
            <v>-7.7618514000000003</v>
          </cell>
          <cell r="AZ78">
            <v>-10.599627399999999</v>
          </cell>
          <cell r="BA78">
            <v>-10.9736464</v>
          </cell>
          <cell r="BB78">
            <v>-15.3888493</v>
          </cell>
          <cell r="BC78">
            <v>-16.821494900000001</v>
          </cell>
          <cell r="BD78">
            <v>-17.049394900000003</v>
          </cell>
          <cell r="BE78">
            <v>-17.125956900000002</v>
          </cell>
          <cell r="BF78">
            <v>-17.125956900000002</v>
          </cell>
          <cell r="BG78">
            <v>-17.125956900000002</v>
          </cell>
          <cell r="BH78">
            <v>-8.4365170275823194E-3</v>
          </cell>
          <cell r="BI78">
            <v>-0.15080274186803397</v>
          </cell>
          <cell r="BJ78">
            <v>-13.070274004981909</v>
          </cell>
          <cell r="BK78">
            <v>-14.006727395043548</v>
          </cell>
          <cell r="BL78">
            <v>-14.794487172494048</v>
          </cell>
          <cell r="BM78">
            <v>-15.133002418225788</v>
          </cell>
          <cell r="BN78">
            <v>-16.777068673975894</v>
          </cell>
          <cell r="BO78">
            <v>-18.210222004036439</v>
          </cell>
          <cell r="BP78">
            <v>-20.368915798469065</v>
          </cell>
          <cell r="BQ78">
            <v>-7.7534148829724181</v>
          </cell>
          <cell r="BR78">
            <v>-10.448824658131965</v>
          </cell>
          <cell r="BS78">
            <v>2.0966276049819097</v>
          </cell>
          <cell r="BT78">
            <v>-1.3821219049564526</v>
          </cell>
          <cell r="BU78">
            <v>-2.0270077275059535</v>
          </cell>
          <cell r="BV78">
            <v>-1.9163924817742153</v>
          </cell>
          <cell r="BW78">
            <v>-0.34888822602410841</v>
          </cell>
          <cell r="BX78">
            <v>1.0842651040364366</v>
          </cell>
          <cell r="BY78">
            <v>3.2429588984690625</v>
          </cell>
          <cell r="BZ78">
            <v>0</v>
          </cell>
          <cell r="CA78">
            <v>-8.0000000000000002E-3</v>
          </cell>
          <cell r="CB78">
            <v>-0.13500000000000001</v>
          </cell>
          <cell r="CC78">
            <v>-10.599627399999999</v>
          </cell>
          <cell r="CD78">
            <v>-0.14300000000000002</v>
          </cell>
          <cell r="CE78">
            <v>-10.456627399999999</v>
          </cell>
          <cell r="CF78">
            <v>40.063566076461399</v>
          </cell>
        </row>
        <row r="79">
          <cell r="G79" t="str">
            <v>Fondo Solidaridad Pensional</v>
          </cell>
          <cell r="L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cell r="AD79" t="str">
            <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-5.0979999999999999</v>
          </cell>
          <cell r="CA79">
            <v>0</v>
          </cell>
          <cell r="CB79">
            <v>-0.83499999999999996</v>
          </cell>
          <cell r="CC79">
            <v>0</v>
          </cell>
          <cell r="CD79">
            <v>-5.9329999999999998</v>
          </cell>
          <cell r="CE79">
            <v>5.9329999999999998</v>
          </cell>
          <cell r="CF79">
            <v>100</v>
          </cell>
        </row>
        <row r="80">
          <cell r="G80" t="str">
            <v>Fondo Compensación Educativa</v>
          </cell>
          <cell r="L80">
            <v>-220.2</v>
          </cell>
          <cell r="N80">
            <v>-220.2</v>
          </cell>
          <cell r="O80">
            <v>-9.2852999999999994</v>
          </cell>
          <cell r="P80">
            <v>-11.225200000000001</v>
          </cell>
          <cell r="Q80">
            <v>-4.09321</v>
          </cell>
          <cell r="R80">
            <v>-0.18</v>
          </cell>
          <cell r="S80">
            <v>-4.7365000000000004</v>
          </cell>
          <cell r="T80">
            <v>-4.6295000000000002</v>
          </cell>
          <cell r="U80">
            <v>-8.8294999999999995</v>
          </cell>
          <cell r="V80">
            <v>-7.7148100000000008</v>
          </cell>
          <cell r="W80">
            <v>0</v>
          </cell>
          <cell r="X80">
            <v>0</v>
          </cell>
          <cell r="Y80">
            <v>0</v>
          </cell>
          <cell r="Z80">
            <v>0</v>
          </cell>
          <cell r="AA80">
            <v>-50.694019999999995</v>
          </cell>
          <cell r="AB80">
            <v>-0.20461665158602299</v>
          </cell>
          <cell r="AC80" t="str">
            <v/>
          </cell>
          <cell r="AD80">
            <v>-0.20461665158602299</v>
          </cell>
          <cell r="AE80">
            <v>0</v>
          </cell>
          <cell r="AF80">
            <v>0</v>
          </cell>
          <cell r="AG80">
            <v>0</v>
          </cell>
          <cell r="AH80">
            <v>0</v>
          </cell>
          <cell r="AI80">
            <v>0</v>
          </cell>
          <cell r="AJ80">
            <v>0</v>
          </cell>
          <cell r="AK80">
            <v>-23.213855421686748</v>
          </cell>
          <cell r="AL80">
            <v>-72.128765060240966</v>
          </cell>
          <cell r="AM80">
            <v>-31.214344879518066</v>
          </cell>
          <cell r="AN80">
            <v>-31.214344879518066</v>
          </cell>
          <cell r="AO80">
            <v>-31.214344879518066</v>
          </cell>
          <cell r="AP80">
            <v>-9.2852999999999994</v>
          </cell>
          <cell r="AQ80">
            <v>-11.225200000000001</v>
          </cell>
          <cell r="AR80">
            <v>-4.09321</v>
          </cell>
          <cell r="AS80">
            <v>-0.18</v>
          </cell>
          <cell r="AT80">
            <v>-4.7365000000000004</v>
          </cell>
          <cell r="AU80">
            <v>-4.6295000000000002</v>
          </cell>
          <cell r="AV80">
            <v>14.384355421686749</v>
          </cell>
          <cell r="AW80">
            <v>64.413955060240966</v>
          </cell>
          <cell r="AX80">
            <v>31.214344879518066</v>
          </cell>
          <cell r="AY80">
            <v>-20.5105</v>
          </cell>
          <cell r="AZ80">
            <v>-24.60371</v>
          </cell>
          <cell r="BA80">
            <v>-24.783709999999999</v>
          </cell>
          <cell r="BB80">
            <v>-29.520209999999999</v>
          </cell>
          <cell r="BC80">
            <v>-34.149709999999999</v>
          </cell>
          <cell r="BD80">
            <v>-42.979209999999995</v>
          </cell>
          <cell r="BE80">
            <v>-50.694019999999995</v>
          </cell>
          <cell r="BF80">
            <v>-50.694019999999995</v>
          </cell>
          <cell r="BG80">
            <v>-50.694019999999995</v>
          </cell>
          <cell r="BH80">
            <v>0</v>
          </cell>
          <cell r="BI80">
            <v>0</v>
          </cell>
          <cell r="BJ80">
            <v>0</v>
          </cell>
          <cell r="BK80">
            <v>0</v>
          </cell>
          <cell r="BL80">
            <v>0</v>
          </cell>
          <cell r="BM80">
            <v>-23.213855421686748</v>
          </cell>
          <cell r="BN80">
            <v>-95.34262048192771</v>
          </cell>
          <cell r="BO80">
            <v>-126.55696536144578</v>
          </cell>
          <cell r="BP80">
            <v>-157.77131024096383</v>
          </cell>
          <cell r="BQ80">
            <v>-20.5105</v>
          </cell>
          <cell r="BR80">
            <v>-24.60371</v>
          </cell>
          <cell r="BS80">
            <v>-24.783709999999999</v>
          </cell>
          <cell r="BT80">
            <v>-29.520209999999999</v>
          </cell>
          <cell r="BU80">
            <v>-34.149709999999999</v>
          </cell>
          <cell r="BV80">
            <v>-19.765354578313246</v>
          </cell>
          <cell r="BW80">
            <v>44.648600481927716</v>
          </cell>
          <cell r="BX80">
            <v>75.862945361445782</v>
          </cell>
          <cell r="BY80">
            <v>107.07729024096383</v>
          </cell>
          <cell r="BZ80">
            <v>0</v>
          </cell>
          <cell r="CA80">
            <v>0</v>
          </cell>
          <cell r="CB80">
            <v>0</v>
          </cell>
          <cell r="CC80">
            <v>-24.60371</v>
          </cell>
          <cell r="CD80">
            <v>0</v>
          </cell>
          <cell r="CE80">
            <v>-24.60371</v>
          </cell>
          <cell r="CF80" t="str">
            <v xml:space="preserve">n.a. </v>
          </cell>
        </row>
        <row r="81">
          <cell r="F81" t="str">
            <v>Menos Gastos Generales Equipo Militar CSF</v>
          </cell>
          <cell r="L81">
            <v>-345.9</v>
          </cell>
          <cell r="N81">
            <v>-345.9</v>
          </cell>
          <cell r="O81">
            <v>-1.4947000000000001</v>
          </cell>
          <cell r="P81">
            <v>-7.1885000000000003</v>
          </cell>
          <cell r="Q81">
            <v>-5.5836000000000006</v>
          </cell>
          <cell r="R81">
            <v>-9.1050000000000004</v>
          </cell>
          <cell r="S81">
            <v>-9.4905000000000008</v>
          </cell>
          <cell r="T81">
            <v>-10.8744</v>
          </cell>
          <cell r="U81">
            <v>-5.8631000000000002</v>
          </cell>
          <cell r="V81">
            <v>-28.824999999999999</v>
          </cell>
          <cell r="W81">
            <v>-28.824999999999999</v>
          </cell>
          <cell r="X81">
            <v>-28.824999999999999</v>
          </cell>
          <cell r="Y81">
            <v>-28.824999999999999</v>
          </cell>
          <cell r="Z81">
            <v>-28.824999999999999</v>
          </cell>
          <cell r="AA81">
            <v>-193.72479999999999</v>
          </cell>
          <cell r="AB81">
            <v>-0.32142097994371183</v>
          </cell>
          <cell r="AC81" t="str">
            <v/>
          </cell>
          <cell r="AD81">
            <v>-0.32142097994371183</v>
          </cell>
          <cell r="AE81">
            <v>-0.38659411764705881</v>
          </cell>
          <cell r="AF81">
            <v>-29.059669411764705</v>
          </cell>
          <cell r="AG81">
            <v>-6.7430152941176473</v>
          </cell>
          <cell r="AH81">
            <v>-6.4093235294117639</v>
          </cell>
          <cell r="AI81">
            <v>-12.415775294117648</v>
          </cell>
          <cell r="AJ81">
            <v>-22.467222352941175</v>
          </cell>
          <cell r="AK81">
            <v>-29.995634117647054</v>
          </cell>
          <cell r="AL81">
            <v>-14.698715294117646</v>
          </cell>
          <cell r="AM81">
            <v>-28.823643529411765</v>
          </cell>
          <cell r="AN81">
            <v>-28.823643529411765</v>
          </cell>
          <cell r="AO81">
            <v>-83.038381764705875</v>
          </cell>
          <cell r="AP81">
            <v>-1.1081058823529413</v>
          </cell>
          <cell r="AQ81">
            <v>21.871169411764704</v>
          </cell>
          <cell r="AR81">
            <v>1.1594152941176468</v>
          </cell>
          <cell r="AS81">
            <v>-2.6956764705882366</v>
          </cell>
          <cell r="AT81">
            <v>2.9252752941176468</v>
          </cell>
          <cell r="AU81">
            <v>11.592822352941175</v>
          </cell>
          <cell r="AV81">
            <v>24.132534117647054</v>
          </cell>
          <cell r="AW81">
            <v>-14.126284705882354</v>
          </cell>
          <cell r="AX81">
            <v>-1.3564705882345152E-3</v>
          </cell>
          <cell r="AY81">
            <v>-8.6832000000000011</v>
          </cell>
          <cell r="AZ81">
            <v>-14.266800000000002</v>
          </cell>
          <cell r="BA81">
            <v>-23.3718</v>
          </cell>
          <cell r="BB81">
            <v>-32.862300000000005</v>
          </cell>
          <cell r="BC81">
            <v>-43.736700000000006</v>
          </cell>
          <cell r="BD81">
            <v>-49.599800000000009</v>
          </cell>
          <cell r="BE81">
            <v>-78.424800000000005</v>
          </cell>
          <cell r="BF81">
            <v>-107.24980000000001</v>
          </cell>
          <cell r="BG81">
            <v>-136.07480000000001</v>
          </cell>
          <cell r="BH81">
            <v>-29.446263529411763</v>
          </cell>
          <cell r="BI81">
            <v>-36.189278823529406</v>
          </cell>
          <cell r="BJ81">
            <v>-42.598602352941171</v>
          </cell>
          <cell r="BK81">
            <v>-55.014377647058822</v>
          </cell>
          <cell r="BL81">
            <v>-77.4816</v>
          </cell>
          <cell r="BM81">
            <v>-107.47723411764706</v>
          </cell>
          <cell r="BN81">
            <v>-122.17594941176471</v>
          </cell>
          <cell r="BO81">
            <v>-150.99959294117647</v>
          </cell>
          <cell r="BP81">
            <v>-179.82323647058823</v>
          </cell>
          <cell r="BQ81">
            <v>20.76306352941176</v>
          </cell>
          <cell r="BR81">
            <v>21.922478823529403</v>
          </cell>
          <cell r="BS81">
            <v>19.226802352941171</v>
          </cell>
          <cell r="BT81">
            <v>22.152077647058817</v>
          </cell>
          <cell r="BU81">
            <v>33.744899999999994</v>
          </cell>
          <cell r="BV81">
            <v>57.877434117647049</v>
          </cell>
          <cell r="BW81">
            <v>43.7511494117647</v>
          </cell>
          <cell r="BX81">
            <v>43.749792941176466</v>
          </cell>
          <cell r="BY81">
            <v>43.748436470588217</v>
          </cell>
          <cell r="BZ81">
            <v>-9.5000000000000001E-2</v>
          </cell>
          <cell r="CA81">
            <v>-7.141</v>
          </cell>
          <cell r="CB81">
            <v>-1.657</v>
          </cell>
          <cell r="CC81">
            <v>-14.266800000000002</v>
          </cell>
          <cell r="CD81">
            <v>-8.8930000000000007</v>
          </cell>
          <cell r="CE81">
            <v>-5.373800000000001</v>
          </cell>
          <cell r="CF81">
            <v>60.427302372652662</v>
          </cell>
        </row>
        <row r="82">
          <cell r="F82" t="str">
            <v>Menos Préstamos Presupuestales CSF</v>
          </cell>
          <cell r="L82">
            <v>-92.8</v>
          </cell>
          <cell r="N82">
            <v>-92.8</v>
          </cell>
          <cell r="O82">
            <v>-13.231018806666667</v>
          </cell>
          <cell r="P82">
            <v>-15.8618564625</v>
          </cell>
          <cell r="Q82">
            <v>-25.896025455555556</v>
          </cell>
          <cell r="R82">
            <v>-8.0864389490909101</v>
          </cell>
          <cell r="S82">
            <v>-6.8884119520000011</v>
          </cell>
          <cell r="T82">
            <v>-6.3869984605555548</v>
          </cell>
          <cell r="U82">
            <v>-4.7136275499999991</v>
          </cell>
          <cell r="V82">
            <v>-2.4741502866666671</v>
          </cell>
          <cell r="W82">
            <v>-3.0862021066666667</v>
          </cell>
          <cell r="X82">
            <v>-5.2764389490909096</v>
          </cell>
          <cell r="Y82">
            <v>1.8040880479999979</v>
          </cell>
          <cell r="Z82">
            <v>2.3055015394444442</v>
          </cell>
          <cell r="AA82">
            <v>-87.791579391348506</v>
          </cell>
          <cell r="AB82">
            <v>-8.6232630641157729E-2</v>
          </cell>
          <cell r="AC82" t="str">
            <v/>
          </cell>
          <cell r="AD82">
            <v>-8.6232630641157729E-2</v>
          </cell>
          <cell r="AE82">
            <v>-12.74</v>
          </cell>
          <cell r="AF82">
            <v>-1.456</v>
          </cell>
          <cell r="AG82">
            <v>-23.63</v>
          </cell>
          <cell r="AH82">
            <v>-2.81</v>
          </cell>
          <cell r="AI82">
            <v>-8.692499999999999</v>
          </cell>
          <cell r="AJ82">
            <v>-8.692499999999999</v>
          </cell>
          <cell r="AK82">
            <v>-8.692499999999999</v>
          </cell>
          <cell r="AL82">
            <v>-8.692499999999999</v>
          </cell>
          <cell r="AM82">
            <v>-8.692499999999999</v>
          </cell>
          <cell r="AN82">
            <v>-8.692499999999999</v>
          </cell>
          <cell r="AO82">
            <v>-8.692499999999999</v>
          </cell>
          <cell r="AP82">
            <v>-0.49101880666666631</v>
          </cell>
          <cell r="AQ82">
            <v>-14.405856462500001</v>
          </cell>
          <cell r="AR82">
            <v>-2.2660254555555568</v>
          </cell>
          <cell r="AS82">
            <v>-5.2764389490909096</v>
          </cell>
          <cell r="AT82">
            <v>1.8040880479999979</v>
          </cell>
          <cell r="AU82">
            <v>2.3055015394444442</v>
          </cell>
          <cell r="AV82">
            <v>3.9788724499999999</v>
          </cell>
          <cell r="AW82">
            <v>6.2183497133333319</v>
          </cell>
          <cell r="AX82">
            <v>5.6062978933333323</v>
          </cell>
          <cell r="AY82">
            <v>-29.092875269166669</v>
          </cell>
          <cell r="AZ82">
            <v>-54.988900724722228</v>
          </cell>
          <cell r="BA82">
            <v>-63.07533967381314</v>
          </cell>
          <cell r="BB82">
            <v>-69.963751625813146</v>
          </cell>
          <cell r="BC82">
            <v>-76.350750086368706</v>
          </cell>
          <cell r="BD82">
            <v>-81.064377636368704</v>
          </cell>
          <cell r="BE82">
            <v>-83.538527923035375</v>
          </cell>
          <cell r="BF82">
            <v>-86.624730029702036</v>
          </cell>
          <cell r="BG82">
            <v>-91.901168978792953</v>
          </cell>
          <cell r="BH82">
            <v>-14.196</v>
          </cell>
          <cell r="BI82">
            <v>-37.826000000000001</v>
          </cell>
          <cell r="BJ82">
            <v>-40.636000000000003</v>
          </cell>
          <cell r="BK82">
            <v>-49.328500000000005</v>
          </cell>
          <cell r="BL82">
            <v>-58.021000000000001</v>
          </cell>
          <cell r="BM82">
            <v>-66.713499999999996</v>
          </cell>
          <cell r="BN82">
            <v>-75.405999999999992</v>
          </cell>
          <cell r="BO82">
            <v>-84.098499999999987</v>
          </cell>
          <cell r="BP82">
            <v>-92.790999999999983</v>
          </cell>
          <cell r="BQ82">
            <v>-14.896875269166669</v>
          </cell>
          <cell r="BR82">
            <v>-17.162900724722228</v>
          </cell>
          <cell r="BS82">
            <v>-22.439339673813137</v>
          </cell>
          <cell r="BT82">
            <v>-20.63525162581314</v>
          </cell>
          <cell r="BU82">
            <v>-18.329750086368705</v>
          </cell>
          <cell r="BV82">
            <v>-14.350877636368708</v>
          </cell>
          <cell r="BW82">
            <v>-8.1325279230353829</v>
          </cell>
          <cell r="BX82">
            <v>-2.5262300297020488</v>
          </cell>
          <cell r="BY82">
            <v>0.88983102120702995</v>
          </cell>
          <cell r="BZ82">
            <v>0</v>
          </cell>
          <cell r="CA82">
            <v>0</v>
          </cell>
          <cell r="CB82">
            <v>-13.54111</v>
          </cell>
          <cell r="CC82">
            <v>-54.988900724722228</v>
          </cell>
          <cell r="CD82">
            <v>-13.54111</v>
          </cell>
          <cell r="CE82">
            <v>-41.447790724722225</v>
          </cell>
          <cell r="CF82">
            <v>-306.08857563908884</v>
          </cell>
        </row>
        <row r="83">
          <cell r="AX83">
            <v>0</v>
          </cell>
          <cell r="BN83">
            <v>0</v>
          </cell>
          <cell r="BO83">
            <v>0</v>
          </cell>
        </row>
        <row r="84">
          <cell r="L84" t="e">
            <v>#REF!</v>
          </cell>
          <cell r="M84" t="e">
            <v>#REF!</v>
          </cell>
          <cell r="N84" t="e">
            <v>#REF!</v>
          </cell>
          <cell r="Q84">
            <v>1967.561798502649</v>
          </cell>
          <cell r="R84">
            <v>1601.3593586210206</v>
          </cell>
          <cell r="S84">
            <v>1700.632725426872</v>
          </cell>
          <cell r="T84">
            <v>1417.4514927429736</v>
          </cell>
          <cell r="U84">
            <v>1843.8241934066289</v>
          </cell>
          <cell r="V84">
            <v>1413.4552901216946</v>
          </cell>
          <cell r="W84">
            <v>1993.6851469276467</v>
          </cell>
          <cell r="X84">
            <v>1442.8363761355058</v>
          </cell>
          <cell r="Y84">
            <v>1619.0656806351003</v>
          </cell>
          <cell r="Z84">
            <v>2116.219692815831</v>
          </cell>
          <cell r="AA84">
            <v>19767.110563321941</v>
          </cell>
          <cell r="AB84" t="e">
            <v>#REF!</v>
          </cell>
          <cell r="AC84" t="e">
            <v>#REF!</v>
          </cell>
          <cell r="AD84" t="e">
            <v>#REF!</v>
          </cell>
          <cell r="AE84">
            <v>1302.3073577677512</v>
          </cell>
          <cell r="AF84">
            <v>1408.2547076321514</v>
          </cell>
          <cell r="AG84">
            <v>2257.467780242016</v>
          </cell>
          <cell r="AH84">
            <v>1602.550304772906</v>
          </cell>
          <cell r="AI84">
            <v>1586.9993259246439</v>
          </cell>
          <cell r="AJ84">
            <v>1424.4919971241065</v>
          </cell>
          <cell r="AK84">
            <v>1760.1468281597852</v>
          </cell>
          <cell r="AL84">
            <v>1385.4289587072624</v>
          </cell>
          <cell r="AM84">
            <v>1871.2085221322488</v>
          </cell>
          <cell r="AN84">
            <v>1450.6000278141439</v>
          </cell>
          <cell r="AO84">
            <v>1521.9814850443481</v>
          </cell>
          <cell r="AP84">
            <v>-10.981333217537895</v>
          </cell>
          <cell r="AQ84">
            <v>-48.561924196343853</v>
          </cell>
          <cell r="AR84">
            <v>-289.90598173936701</v>
          </cell>
          <cell r="AS84">
            <v>-1.1909461518853277</v>
          </cell>
          <cell r="AT84">
            <v>113.63339950222803</v>
          </cell>
          <cell r="AU84">
            <v>-7.0405043811329051</v>
          </cell>
          <cell r="AV84">
            <v>83.677365246843692</v>
          </cell>
          <cell r="AW84">
            <v>28.026331414432207</v>
          </cell>
          <cell r="AX84">
            <v>122.47662479539781</v>
          </cell>
          <cell r="AY84">
            <v>2651.0188079860209</v>
          </cell>
          <cell r="AZ84">
            <v>4618.5806064886692</v>
          </cell>
          <cell r="BA84">
            <v>6219.939965109691</v>
          </cell>
          <cell r="BB84">
            <v>7920.5726905365627</v>
          </cell>
          <cell r="BC84">
            <v>9338.0241832795364</v>
          </cell>
          <cell r="BD84">
            <v>11181.848376686165</v>
          </cell>
          <cell r="BE84">
            <v>12595.303666807862</v>
          </cell>
          <cell r="BF84">
            <v>14588.988813735506</v>
          </cell>
          <cell r="BG84">
            <v>16031.825189871011</v>
          </cell>
          <cell r="BH84">
            <v>2710.5620653999026</v>
          </cell>
          <cell r="BI84">
            <v>4968.0298456419187</v>
          </cell>
          <cell r="BJ84">
            <v>6570.5801504148239</v>
          </cell>
          <cell r="BK84">
            <v>8157.5794763394679</v>
          </cell>
          <cell r="BL84">
            <v>9582.0714734635749</v>
          </cell>
          <cell r="BM84">
            <v>11342.218301623359</v>
          </cell>
          <cell r="BN84">
            <v>12727.647260330621</v>
          </cell>
          <cell r="BO84">
            <v>14598.85578246287</v>
          </cell>
          <cell r="BP84">
            <v>16049.455810277013</v>
          </cell>
          <cell r="BQ84">
            <v>-59.543257413881875</v>
          </cell>
          <cell r="BR84">
            <v>-349.44923915324841</v>
          </cell>
          <cell r="BS84">
            <v>-350.64018530513346</v>
          </cell>
          <cell r="BT84">
            <v>-237.00678580290509</v>
          </cell>
          <cell r="BU84">
            <v>-244.04729018403773</v>
          </cell>
          <cell r="BV84">
            <v>-160.36992493719382</v>
          </cell>
          <cell r="BW84">
            <v>-132.34359352275897</v>
          </cell>
          <cell r="BX84">
            <v>-9.8669687273632007</v>
          </cell>
          <cell r="BY84">
            <v>-17.630620406001981</v>
          </cell>
          <cell r="BZ84" t="e">
            <v>#REF!</v>
          </cell>
          <cell r="CA84" t="e">
            <v>#REF!</v>
          </cell>
          <cell r="CB84" t="e">
            <v>#REF!</v>
          </cell>
          <cell r="CC84">
            <v>4618.5806064886692</v>
          </cell>
          <cell r="CD84" t="e">
            <v>#REF!</v>
          </cell>
          <cell r="CE84" t="e">
            <v>#REF!</v>
          </cell>
          <cell r="CF84" t="e">
            <v>#REF!</v>
          </cell>
        </row>
        <row r="85">
          <cell r="AX85">
            <v>0</v>
          </cell>
          <cell r="BN85">
            <v>0</v>
          </cell>
          <cell r="BO85">
            <v>0</v>
          </cell>
        </row>
        <row r="86">
          <cell r="L86" t="e">
            <v>#REF!</v>
          </cell>
          <cell r="M86" t="e">
            <v>#REF!</v>
          </cell>
          <cell r="N86" t="e">
            <v>#REF!</v>
          </cell>
          <cell r="Q86">
            <v>-850.17366658293872</v>
          </cell>
          <cell r="R86">
            <v>-463.2790313497519</v>
          </cell>
          <cell r="S86">
            <v>-520.89383297442691</v>
          </cell>
          <cell r="T86">
            <v>-41.811942938311745</v>
          </cell>
          <cell r="U86">
            <v>-345.06989518034618</v>
          </cell>
          <cell r="V86">
            <v>102.90889335637092</v>
          </cell>
          <cell r="W86">
            <v>-701.71409300909204</v>
          </cell>
          <cell r="X86">
            <v>-62.446592757542874</v>
          </cell>
          <cell r="Y86">
            <v>-527.29736573946957</v>
          </cell>
          <cell r="Z86">
            <v>-604.64285482753371</v>
          </cell>
          <cell r="AA86">
            <v>-4598.4097227644643</v>
          </cell>
          <cell r="AB86" t="e">
            <v>#REF!</v>
          </cell>
          <cell r="AC86" t="e">
            <v>#REF!</v>
          </cell>
          <cell r="AD86" t="e">
            <v>#REF!</v>
          </cell>
          <cell r="AE86">
            <v>-575.9715073753797</v>
          </cell>
          <cell r="AF86">
            <v>29.867994310949371</v>
          </cell>
          <cell r="AG86">
            <v>-1232.8574802420158</v>
          </cell>
          <cell r="AH86">
            <v>-383.28004872268616</v>
          </cell>
          <cell r="AI86">
            <v>-561.94133538391918</v>
          </cell>
          <cell r="AJ86">
            <v>-105.97947722535088</v>
          </cell>
          <cell r="AK86">
            <v>-373.29366455117605</v>
          </cell>
          <cell r="AL86">
            <v>-21.131312750924081</v>
          </cell>
          <cell r="AM86">
            <v>-723.42863081716143</v>
          </cell>
          <cell r="AN86">
            <v>-88.807746570460097</v>
          </cell>
          <cell r="AO86">
            <v>-549.80021158341378</v>
          </cell>
          <cell r="AP86">
            <v>27.439233281733436</v>
          </cell>
          <cell r="AQ86">
            <v>-65.325060978724139</v>
          </cell>
          <cell r="AR86">
            <v>382.68381365907703</v>
          </cell>
          <cell r="AS86">
            <v>-79.998982627065743</v>
          </cell>
          <cell r="AT86">
            <v>41.047502409492267</v>
          </cell>
          <cell r="AU86">
            <v>64.167534287039132</v>
          </cell>
          <cell r="AV86">
            <v>28.223769370829871</v>
          </cell>
          <cell r="AW86">
            <v>124.04020610729501</v>
          </cell>
          <cell r="AX86">
            <v>21.714537808069394</v>
          </cell>
          <cell r="AY86">
            <v>-593.82544533404121</v>
          </cell>
          <cell r="AZ86">
            <v>-1451.9646997743494</v>
          </cell>
          <cell r="BA86">
            <v>-1918.7683232754916</v>
          </cell>
          <cell r="BB86">
            <v>-2443.2050565290774</v>
          </cell>
          <cell r="BC86">
            <v>-2489.7588236420706</v>
          </cell>
          <cell r="BD86">
            <v>-2837.5506181821083</v>
          </cell>
          <cell r="BE86">
            <v>-2737.7540274483777</v>
          </cell>
          <cell r="BF86">
            <v>-3447.886715678058</v>
          </cell>
          <cell r="BG86">
            <v>-3510.3333084355982</v>
          </cell>
          <cell r="BH86">
            <v>-604.10238217326332</v>
          </cell>
          <cell r="BI86">
            <v>-1778.9609933064462</v>
          </cell>
          <cell r="BJ86">
            <v>-2162.2410420291312</v>
          </cell>
          <cell r="BK86">
            <v>-2724.1823774130503</v>
          </cell>
          <cell r="BL86">
            <v>-2830.1618546384016</v>
          </cell>
          <cell r="BM86">
            <v>-3203.4555191895774</v>
          </cell>
          <cell r="BN86">
            <v>-3224.5868319405026</v>
          </cell>
          <cell r="BO86">
            <v>-3948.015462757664</v>
          </cell>
          <cell r="BP86">
            <v>-4036.823209328124</v>
          </cell>
          <cell r="BQ86">
            <v>10.276936839222316</v>
          </cell>
          <cell r="BR86">
            <v>326.99629353209616</v>
          </cell>
          <cell r="BS86">
            <v>243.47271875364015</v>
          </cell>
          <cell r="BT86">
            <v>280.97732088397203</v>
          </cell>
          <cell r="BU86">
            <v>340.4030309963307</v>
          </cell>
          <cell r="BV86">
            <v>365.90490100747002</v>
          </cell>
          <cell r="BW86">
            <v>486.83280449212498</v>
          </cell>
          <cell r="BX86">
            <v>500.128747079606</v>
          </cell>
          <cell r="BY86">
            <v>526.48990089252584</v>
          </cell>
          <cell r="BZ86" t="e">
            <v>#REF!</v>
          </cell>
          <cell r="CA86" t="e">
            <v>#REF!</v>
          </cell>
          <cell r="CB86" t="e">
            <v>#REF!</v>
          </cell>
          <cell r="CC86">
            <v>-1451.9646997743494</v>
          </cell>
          <cell r="CD86" t="e">
            <v>#REF!</v>
          </cell>
          <cell r="CE86" t="e">
            <v>#REF!</v>
          </cell>
          <cell r="CF86" t="e">
            <v>#REF!</v>
          </cell>
        </row>
        <row r="87">
          <cell r="AX87">
            <v>0</v>
          </cell>
          <cell r="BN87">
            <v>0</v>
          </cell>
          <cell r="BO87">
            <v>0</v>
          </cell>
          <cell r="BP87">
            <v>0</v>
          </cell>
          <cell r="BW87">
            <v>0</v>
          </cell>
          <cell r="BX87">
            <v>0</v>
          </cell>
          <cell r="BY87">
            <v>0</v>
          </cell>
        </row>
        <row r="88">
          <cell r="L88">
            <v>147.05021974965689</v>
          </cell>
          <cell r="M88">
            <v>49.7</v>
          </cell>
          <cell r="N88">
            <v>196.75021974965688</v>
          </cell>
          <cell r="Q88">
            <v>40.036821937128892</v>
          </cell>
          <cell r="R88">
            <v>25.893005499405454</v>
          </cell>
          <cell r="S88">
            <v>5.5265848677800014</v>
          </cell>
          <cell r="T88">
            <v>1.5822323980600004</v>
          </cell>
          <cell r="U88">
            <v>4.3351867676299989</v>
          </cell>
          <cell r="V88">
            <v>31.716771812076669</v>
          </cell>
          <cell r="W88">
            <v>30.122478628093333</v>
          </cell>
          <cell r="X88">
            <v>5.2764389490909096</v>
          </cell>
          <cell r="Y88">
            <v>-1.8040880479999979</v>
          </cell>
          <cell r="Z88">
            <v>-2.3055015394444442</v>
          </cell>
          <cell r="AA88">
            <v>196.03832182802412</v>
          </cell>
          <cell r="AB88">
            <v>0.13664361298893576</v>
          </cell>
          <cell r="AC88">
            <v>4.6182777401568315E-2</v>
          </cell>
          <cell r="AD88">
            <v>0.18282639039050408</v>
          </cell>
          <cell r="AE88">
            <v>14.874000000000001</v>
          </cell>
          <cell r="AF88">
            <v>35.719349956987656</v>
          </cell>
          <cell r="AG88">
            <v>45.633769106525087</v>
          </cell>
          <cell r="AH88">
            <v>29.007659191067077</v>
          </cell>
          <cell r="AI88">
            <v>13.842499999999999</v>
          </cell>
          <cell r="AJ88">
            <v>18.993415301163697</v>
          </cell>
          <cell r="AK88">
            <v>10.192499999999999</v>
          </cell>
          <cell r="AL88">
            <v>45.589560843799987</v>
          </cell>
          <cell r="AM88">
            <v>42.212007933196098</v>
          </cell>
          <cell r="AN88">
            <v>32.700250820818169</v>
          </cell>
          <cell r="AO88">
            <v>14.309659701761369</v>
          </cell>
          <cell r="AP88">
            <v>-3.6613825587766673</v>
          </cell>
          <cell r="AQ88">
            <v>8.7264231579923432</v>
          </cell>
          <cell r="AR88">
            <v>-5.596947169396195</v>
          </cell>
          <cell r="AS88">
            <v>-3.1146536916616228</v>
          </cell>
          <cell r="AT88">
            <v>-8.3159151322199989</v>
          </cell>
          <cell r="AU88">
            <v>-17.411182903103697</v>
          </cell>
          <cell r="AV88">
            <v>-5.8573132323700001</v>
          </cell>
          <cell r="AW88">
            <v>-13.872789031723318</v>
          </cell>
          <cell r="AX88">
            <v>-12.089529305102765</v>
          </cell>
          <cell r="AY88">
            <v>55.658390556203337</v>
          </cell>
          <cell r="AZ88">
            <v>95.695212493332235</v>
          </cell>
          <cell r="BA88">
            <v>121.58821799273768</v>
          </cell>
          <cell r="BB88">
            <v>127.11480286051768</v>
          </cell>
          <cell r="BC88">
            <v>128.69703525857767</v>
          </cell>
          <cell r="BD88">
            <v>133.03222202620771</v>
          </cell>
          <cell r="BE88">
            <v>164.74899383828438</v>
          </cell>
          <cell r="BF88">
            <v>194.8714724663777</v>
          </cell>
          <cell r="BG88">
            <v>200.1479114154686</v>
          </cell>
          <cell r="BH88">
            <v>50.593349956987652</v>
          </cell>
          <cell r="BI88">
            <v>96.227119063512731</v>
          </cell>
          <cell r="BJ88">
            <v>125.23477825457981</v>
          </cell>
          <cell r="BK88">
            <v>139.07727825457982</v>
          </cell>
          <cell r="BL88">
            <v>158.07069355574353</v>
          </cell>
          <cell r="BM88">
            <v>168.26319355574353</v>
          </cell>
          <cell r="BN88">
            <v>213.85275439954353</v>
          </cell>
          <cell r="BO88">
            <v>256.06476233273963</v>
          </cell>
          <cell r="BP88">
            <v>288.76501315355779</v>
          </cell>
          <cell r="BQ88">
            <v>5.0650405992156795</v>
          </cell>
          <cell r="BR88">
            <v>-0.53190657018050835</v>
          </cell>
          <cell r="BS88">
            <v>-3.6465602618421329</v>
          </cell>
          <cell r="BT88">
            <v>-11.962475394062128</v>
          </cell>
          <cell r="BU88">
            <v>-29.373658297165818</v>
          </cell>
          <cell r="BV88">
            <v>-35.230971529535815</v>
          </cell>
          <cell r="BW88">
            <v>-49.103760561259151</v>
          </cell>
          <cell r="BX88">
            <v>-61.193289866361937</v>
          </cell>
          <cell r="BY88">
            <v>-88.61710173808919</v>
          </cell>
          <cell r="BZ88">
            <v>3.3572108000000012</v>
          </cell>
          <cell r="CA88">
            <v>28.847685874</v>
          </cell>
          <cell r="CB88">
            <v>25.258643499999998</v>
          </cell>
          <cell r="CC88">
            <v>95.695212493332235</v>
          </cell>
          <cell r="CD88">
            <v>57.463540174000002</v>
          </cell>
          <cell r="CE88">
            <v>38.231672319332233</v>
          </cell>
          <cell r="CF88">
            <v>66.532051808096853</v>
          </cell>
        </row>
        <row r="89">
          <cell r="E89" t="str">
            <v xml:space="preserve">Préstamos de Inversión </v>
          </cell>
          <cell r="L89">
            <v>92.8</v>
          </cell>
          <cell r="M89">
            <v>49.7</v>
          </cell>
          <cell r="N89">
            <v>142.5</v>
          </cell>
          <cell r="O89">
            <v>13.231018806666667</v>
          </cell>
          <cell r="P89">
            <v>15.8618564625</v>
          </cell>
          <cell r="Q89">
            <v>25.896025455555556</v>
          </cell>
          <cell r="R89">
            <v>8.0864389490909101</v>
          </cell>
          <cell r="S89">
            <v>6.8884119520000011</v>
          </cell>
          <cell r="T89">
            <v>6.3869984605555548</v>
          </cell>
          <cell r="U89">
            <v>4.7136275499999991</v>
          </cell>
          <cell r="V89">
            <v>2.4741502866666671</v>
          </cell>
          <cell r="W89">
            <v>3.0862021066666667</v>
          </cell>
          <cell r="X89">
            <v>5.2764389490909096</v>
          </cell>
          <cell r="Y89">
            <v>-1.8040880479999979</v>
          </cell>
          <cell r="Z89">
            <v>-2.3055015394444442</v>
          </cell>
          <cell r="AA89">
            <v>87.791579391348506</v>
          </cell>
          <cell r="AB89">
            <v>8.6232630641157729E-2</v>
          </cell>
          <cell r="AC89">
            <v>4.6182777401568315E-2</v>
          </cell>
          <cell r="AD89">
            <v>0.13241540804272606</v>
          </cell>
          <cell r="AE89">
            <v>12.74</v>
          </cell>
          <cell r="AF89">
            <v>1.456</v>
          </cell>
          <cell r="AG89">
            <v>23.63</v>
          </cell>
          <cell r="AH89">
            <v>2.81</v>
          </cell>
          <cell r="AI89">
            <v>8.692499999999999</v>
          </cell>
          <cell r="AJ89">
            <v>8.692499999999999</v>
          </cell>
          <cell r="AK89">
            <v>8.692499999999999</v>
          </cell>
          <cell r="AL89">
            <v>8.692499999999999</v>
          </cell>
          <cell r="AM89">
            <v>8.692499999999999</v>
          </cell>
          <cell r="AN89">
            <v>8.692499999999999</v>
          </cell>
          <cell r="AO89">
            <v>8.692499999999999</v>
          </cell>
          <cell r="AP89">
            <v>0.49101880666666631</v>
          </cell>
          <cell r="AQ89">
            <v>14.405856462500001</v>
          </cell>
          <cell r="AR89">
            <v>2.2660254555555568</v>
          </cell>
          <cell r="AS89">
            <v>5.2764389490909096</v>
          </cell>
          <cell r="AT89">
            <v>-1.8040880479999979</v>
          </cell>
          <cell r="AU89">
            <v>-2.3055015394444442</v>
          </cell>
          <cell r="AV89">
            <v>-3.9788724499999999</v>
          </cell>
          <cell r="AW89">
            <v>-6.2183497133333319</v>
          </cell>
          <cell r="AX89">
            <v>-5.6062978933333323</v>
          </cell>
          <cell r="AY89">
            <v>29.092875269166669</v>
          </cell>
          <cell r="AZ89">
            <v>54.988900724722228</v>
          </cell>
          <cell r="BA89">
            <v>63.07533967381314</v>
          </cell>
          <cell r="BB89">
            <v>69.963751625813146</v>
          </cell>
          <cell r="BC89">
            <v>76.350750086368706</v>
          </cell>
          <cell r="BD89">
            <v>81.064377636368704</v>
          </cell>
          <cell r="BE89">
            <v>83.538527923035375</v>
          </cell>
          <cell r="BF89">
            <v>86.624730029702036</v>
          </cell>
          <cell r="BG89">
            <v>91.901168978792953</v>
          </cell>
          <cell r="BH89">
            <v>14.196</v>
          </cell>
          <cell r="BI89">
            <v>37.826000000000001</v>
          </cell>
          <cell r="BJ89">
            <v>40.636000000000003</v>
          </cell>
          <cell r="BK89">
            <v>49.328500000000005</v>
          </cell>
          <cell r="BL89">
            <v>58.021000000000001</v>
          </cell>
          <cell r="BM89">
            <v>66.713499999999996</v>
          </cell>
          <cell r="BN89">
            <v>75.405999999999992</v>
          </cell>
          <cell r="BO89">
            <v>84.098499999999987</v>
          </cell>
          <cell r="BP89">
            <v>92.790999999999983</v>
          </cell>
          <cell r="BQ89">
            <v>14.896875269166669</v>
          </cell>
          <cell r="BR89">
            <v>17.162900724722228</v>
          </cell>
          <cell r="BS89">
            <v>22.439339673813137</v>
          </cell>
          <cell r="BT89">
            <v>20.63525162581314</v>
          </cell>
          <cell r="BU89">
            <v>18.329750086368705</v>
          </cell>
          <cell r="BV89">
            <v>14.350877636368708</v>
          </cell>
          <cell r="BW89">
            <v>8.1325279230353829</v>
          </cell>
          <cell r="BX89">
            <v>2.5262300297020488</v>
          </cell>
          <cell r="BY89">
            <v>-0.88983102120702995</v>
          </cell>
          <cell r="BZ89">
            <v>6.9509888000000011</v>
          </cell>
          <cell r="CA89">
            <v>0.80289280000000007</v>
          </cell>
          <cell r="CB89">
            <v>13.54111</v>
          </cell>
          <cell r="CC89">
            <v>54.988900724722228</v>
          </cell>
          <cell r="CD89">
            <v>21.294991600000003</v>
          </cell>
          <cell r="CE89">
            <v>33.693909124722225</v>
          </cell>
          <cell r="CF89">
            <v>158.22457109925426</v>
          </cell>
        </row>
        <row r="90">
          <cell r="E90" t="str">
            <v>Préstamo por Venta de Epsa</v>
          </cell>
          <cell r="N90">
            <v>0</v>
          </cell>
          <cell r="AA90">
            <v>0</v>
          </cell>
          <cell r="AB90" t="str">
            <v/>
          </cell>
          <cell r="AC90" t="str">
            <v/>
          </cell>
          <cell r="AD90" t="str">
            <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t="str">
            <v xml:space="preserve">n.a. </v>
          </cell>
        </row>
        <row r="91">
          <cell r="E91" t="str">
            <v>Préstamo CEDE</v>
          </cell>
          <cell r="L91">
            <v>164.96341974965685</v>
          </cell>
          <cell r="N91">
            <v>164.96341974965685</v>
          </cell>
          <cell r="O91">
            <v>1.4687005666666669E-2</v>
          </cell>
          <cell r="P91">
            <v>29.116483568500001</v>
          </cell>
          <cell r="Q91">
            <v>16.267671668333335</v>
          </cell>
          <cell r="R91">
            <v>18.511720713454544</v>
          </cell>
          <cell r="S91">
            <v>0</v>
          </cell>
          <cell r="T91">
            <v>4.875120232944445</v>
          </cell>
          <cell r="U91">
            <v>0</v>
          </cell>
          <cell r="V91">
            <v>29.481852691500002</v>
          </cell>
          <cell r="W91">
            <v>27.041020524666667</v>
          </cell>
          <cell r="X91">
            <v>0</v>
          </cell>
          <cell r="Y91">
            <v>0</v>
          </cell>
          <cell r="Z91">
            <v>0</v>
          </cell>
          <cell r="AA91">
            <v>125.30855640506564</v>
          </cell>
          <cell r="AB91">
            <v>0.15328911254929334</v>
          </cell>
          <cell r="AC91" t="str">
            <v/>
          </cell>
          <cell r="AD91">
            <v>0.15328911254929334</v>
          </cell>
          <cell r="AE91">
            <v>0</v>
          </cell>
          <cell r="AF91">
            <v>33.588349956987656</v>
          </cell>
          <cell r="AG91">
            <v>19.208969106525082</v>
          </cell>
          <cell r="AH91">
            <v>19.04765919106708</v>
          </cell>
          <cell r="AI91">
            <v>0</v>
          </cell>
          <cell r="AJ91">
            <v>5.6009153011636998</v>
          </cell>
          <cell r="AK91">
            <v>0</v>
          </cell>
          <cell r="AL91">
            <v>34.597060843799994</v>
          </cell>
          <cell r="AM91">
            <v>28.719507933196102</v>
          </cell>
          <cell r="AN91">
            <v>21.637750820818169</v>
          </cell>
          <cell r="AO91">
            <v>3.7271597017613702</v>
          </cell>
          <cell r="AP91">
            <v>1.4687005666666669E-2</v>
          </cell>
          <cell r="AQ91">
            <v>-4.4718663884876548</v>
          </cell>
          <cell r="AR91">
            <v>-2.9412974381917465</v>
          </cell>
          <cell r="AS91">
            <v>-0.53593847761253599</v>
          </cell>
          <cell r="AT91">
            <v>0</v>
          </cell>
          <cell r="AU91">
            <v>-0.72579506821925488</v>
          </cell>
          <cell r="AV91">
            <v>0</v>
          </cell>
          <cell r="AW91">
            <v>-5.1152081522999922</v>
          </cell>
          <cell r="AX91">
            <v>-1.6784874085294348</v>
          </cell>
          <cell r="AY91">
            <v>29.131170574166667</v>
          </cell>
          <cell r="AZ91">
            <v>45.398842242500002</v>
          </cell>
          <cell r="BA91">
            <v>63.910562955954546</v>
          </cell>
          <cell r="BB91">
            <v>63.910562955954546</v>
          </cell>
          <cell r="BC91">
            <v>68.785683188898986</v>
          </cell>
          <cell r="BD91">
            <v>68.785683188898986</v>
          </cell>
          <cell r="BE91">
            <v>98.267535880398981</v>
          </cell>
          <cell r="BF91">
            <v>125.30855640506564</v>
          </cell>
          <cell r="BG91">
            <v>125.30855640506564</v>
          </cell>
          <cell r="BH91">
            <v>33.588349956987656</v>
          </cell>
          <cell r="BI91">
            <v>52.797319063512738</v>
          </cell>
          <cell r="BJ91">
            <v>71.844978254579814</v>
          </cell>
          <cell r="BK91">
            <v>71.844978254579814</v>
          </cell>
          <cell r="BL91">
            <v>77.44589355574351</v>
          </cell>
          <cell r="BM91">
            <v>77.44589355574351</v>
          </cell>
          <cell r="BN91">
            <v>112.0429543995435</v>
          </cell>
          <cell r="BO91">
            <v>140.7624623327396</v>
          </cell>
          <cell r="BP91">
            <v>162.40021315355779</v>
          </cell>
          <cell r="BQ91">
            <v>-4.4571793828209891</v>
          </cell>
          <cell r="BR91">
            <v>-7.3984768210127356</v>
          </cell>
          <cell r="BS91">
            <v>-7.9344152986252681</v>
          </cell>
          <cell r="BT91">
            <v>-7.9344152986252681</v>
          </cell>
          <cell r="BU91">
            <v>-8.6602103668445238</v>
          </cell>
          <cell r="BV91">
            <v>-8.6602103668445238</v>
          </cell>
          <cell r="BW91">
            <v>-13.775418519144523</v>
          </cell>
          <cell r="BX91">
            <v>-15.453905927673958</v>
          </cell>
          <cell r="BY91">
            <v>-37.091656748492142</v>
          </cell>
          <cell r="BZ91">
            <v>0</v>
          </cell>
          <cell r="CA91">
            <v>29.570398060000002</v>
          </cell>
          <cell r="CB91">
            <v>17.4681155</v>
          </cell>
          <cell r="CC91">
            <v>45.398842242500002</v>
          </cell>
          <cell r="CD91">
            <v>47.038513559999998</v>
          </cell>
          <cell r="CE91">
            <v>-1.639671317499996</v>
          </cell>
          <cell r="CF91">
            <v>-3.4858059777091221</v>
          </cell>
        </row>
        <row r="92">
          <cell r="E92" t="str">
            <v>Menos Recuperación de Cartera</v>
          </cell>
          <cell r="L92">
            <v>-110.71319999999999</v>
          </cell>
          <cell r="N92">
            <v>-110.71319999999999</v>
          </cell>
          <cell r="O92">
            <v>-2.0330883711100003</v>
          </cell>
          <cell r="P92">
            <v>-0.53256691602000006</v>
          </cell>
          <cell r="Q92">
            <v>-2.12687518676</v>
          </cell>
          <cell r="R92">
            <v>-0.70515416314000012</v>
          </cell>
          <cell r="S92">
            <v>-1.36182708422</v>
          </cell>
          <cell r="T92">
            <v>-9.6798862954399993</v>
          </cell>
          <cell r="U92">
            <v>-0.37844078237000001</v>
          </cell>
          <cell r="V92">
            <v>-0.23923116609000003</v>
          </cell>
          <cell r="W92">
            <v>-4.7440032400000009E-3</v>
          </cell>
          <cell r="X92">
            <v>0</v>
          </cell>
          <cell r="Y92">
            <v>0</v>
          </cell>
          <cell r="Z92">
            <v>0</v>
          </cell>
          <cell r="AA92">
            <v>-17.061813968389998</v>
          </cell>
          <cell r="AB92">
            <v>-0.10287813020151532</v>
          </cell>
          <cell r="AC92" t="str">
            <v/>
          </cell>
          <cell r="AD92">
            <v>-0.10287813020151532</v>
          </cell>
          <cell r="AE92">
            <v>2.1339999999999999</v>
          </cell>
          <cell r="AF92">
            <v>0.67500000000000004</v>
          </cell>
          <cell r="AG92">
            <v>2.7948</v>
          </cell>
          <cell r="AH92">
            <v>7.15</v>
          </cell>
          <cell r="AI92">
            <v>5.15</v>
          </cell>
          <cell r="AJ92">
            <v>4.7</v>
          </cell>
          <cell r="AK92">
            <v>1.5</v>
          </cell>
          <cell r="AL92">
            <v>2.2999999999999998</v>
          </cell>
          <cell r="AM92">
            <v>4.8</v>
          </cell>
          <cell r="AN92">
            <v>2.37</v>
          </cell>
          <cell r="AO92">
            <v>1.89</v>
          </cell>
          <cell r="AP92">
            <v>-4.1670883711100002</v>
          </cell>
          <cell r="AQ92">
            <v>-1.2075669160200002</v>
          </cell>
          <cell r="AR92">
            <v>-4.9216751867599999</v>
          </cell>
          <cell r="AS92">
            <v>-7.8551541631400008</v>
          </cell>
          <cell r="AT92">
            <v>-6.5118270842200001</v>
          </cell>
          <cell r="AU92">
            <v>-14.379886295439999</v>
          </cell>
          <cell r="AV92">
            <v>-1.87844078237</v>
          </cell>
          <cell r="AW92">
            <v>-2.53923116609</v>
          </cell>
          <cell r="AX92">
            <v>-4.8047440032399997</v>
          </cell>
          <cell r="AY92">
            <v>-2.5656552871300002</v>
          </cell>
          <cell r="AZ92">
            <v>-4.6925304738900007</v>
          </cell>
          <cell r="BA92">
            <v>-5.3976846370300011</v>
          </cell>
          <cell r="BB92">
            <v>-6.7595117212500009</v>
          </cell>
          <cell r="BC92">
            <v>-16.439398016689999</v>
          </cell>
          <cell r="BD92">
            <v>-16.817838799059999</v>
          </cell>
          <cell r="BE92">
            <v>-17.057069965149999</v>
          </cell>
          <cell r="BF92">
            <v>-17.061813968389998</v>
          </cell>
          <cell r="BG92">
            <v>-17.061813968389998</v>
          </cell>
          <cell r="BH92">
            <v>2.8090000000000002</v>
          </cell>
          <cell r="BI92">
            <v>5.6037999999999997</v>
          </cell>
          <cell r="BJ92">
            <v>12.7538</v>
          </cell>
          <cell r="BK92">
            <v>17.9038</v>
          </cell>
          <cell r="BL92">
            <v>22.6038</v>
          </cell>
          <cell r="BM92">
            <v>24.1038</v>
          </cell>
          <cell r="BN92">
            <v>26.4038</v>
          </cell>
          <cell r="BO92">
            <v>31.203800000000001</v>
          </cell>
          <cell r="BP92">
            <v>33.573799999999999</v>
          </cell>
          <cell r="BQ92">
            <v>-5.3746552871300004</v>
          </cell>
          <cell r="BR92">
            <v>-10.29633047389</v>
          </cell>
          <cell r="BS92">
            <v>-18.151484637030002</v>
          </cell>
          <cell r="BT92">
            <v>-24.66331172125</v>
          </cell>
          <cell r="BU92">
            <v>-39.043198016689999</v>
          </cell>
          <cell r="BV92">
            <v>-40.921638799059998</v>
          </cell>
          <cell r="BW92">
            <v>-43.460869965149996</v>
          </cell>
          <cell r="BX92">
            <v>-48.265613968389999</v>
          </cell>
          <cell r="BY92">
            <v>-50.635613968389997</v>
          </cell>
          <cell r="BZ92">
            <v>-3.5937779999999999</v>
          </cell>
          <cell r="CA92">
            <v>-1.5256049859999998</v>
          </cell>
          <cell r="CB92">
            <v>-5.7505820000000005</v>
          </cell>
          <cell r="CC92">
            <v>-4.6925304738900007</v>
          </cell>
          <cell r="CD92">
            <v>-10.869964985999999</v>
          </cell>
          <cell r="CE92">
            <v>6.1774345121099987</v>
          </cell>
          <cell r="CF92">
            <v>-56.83030736590451</v>
          </cell>
        </row>
        <row r="93">
          <cell r="AX93">
            <v>0</v>
          </cell>
          <cell r="BN93">
            <v>0</v>
          </cell>
          <cell r="BO93">
            <v>0</v>
          </cell>
        </row>
        <row r="94">
          <cell r="L94" t="e">
            <v>#REF!</v>
          </cell>
          <cell r="M94" t="e">
            <v>#REF!</v>
          </cell>
          <cell r="N94" t="e">
            <v>#REF!</v>
          </cell>
          <cell r="Q94">
            <v>-890.21048852006766</v>
          </cell>
          <cell r="R94">
            <v>-489.17203684915734</v>
          </cell>
          <cell r="S94">
            <v>-526.42041784220692</v>
          </cell>
          <cell r="T94">
            <v>-43.394175336371745</v>
          </cell>
          <cell r="U94">
            <v>-349.40508194797616</v>
          </cell>
          <cell r="V94">
            <v>71.192121544294253</v>
          </cell>
          <cell r="W94">
            <v>-731.83657163718533</v>
          </cell>
          <cell r="X94">
            <v>-67.723031706633776</v>
          </cell>
          <cell r="Y94">
            <v>-525.49327769146953</v>
          </cell>
          <cell r="Z94">
            <v>-602.33735328808928</v>
          </cell>
          <cell r="AA94">
            <v>-4794.4480445924883</v>
          </cell>
          <cell r="AB94" t="e">
            <v>#REF!</v>
          </cell>
          <cell r="AC94" t="e">
            <v>#REF!</v>
          </cell>
          <cell r="AD94" t="e">
            <v>#REF!</v>
          </cell>
          <cell r="AE94">
            <v>-590.84550737537973</v>
          </cell>
          <cell r="AF94">
            <v>-5.8513556460382858</v>
          </cell>
          <cell r="AG94">
            <v>-1278.4912493485408</v>
          </cell>
          <cell r="AH94">
            <v>-412.28770791375325</v>
          </cell>
          <cell r="AI94">
            <v>-575.78383538391915</v>
          </cell>
          <cell r="AJ94">
            <v>-124.97289252651457</v>
          </cell>
          <cell r="AK94">
            <v>-383.48616455117605</v>
          </cell>
          <cell r="AL94">
            <v>-66.720873594724068</v>
          </cell>
          <cell r="AM94">
            <v>-765.64063875035754</v>
          </cell>
          <cell r="AN94">
            <v>-121.50799739127827</v>
          </cell>
          <cell r="AO94">
            <v>-564.10987128517513</v>
          </cell>
          <cell r="AP94">
            <v>31.100615840510159</v>
          </cell>
          <cell r="AQ94">
            <v>-74.051484136716482</v>
          </cell>
          <cell r="AR94">
            <v>388.28076082847315</v>
          </cell>
          <cell r="AS94">
            <v>-76.884328935404085</v>
          </cell>
          <cell r="AT94">
            <v>49.363417541712238</v>
          </cell>
          <cell r="AU94">
            <v>81.578717190142825</v>
          </cell>
          <cell r="AV94">
            <v>34.081082603199889</v>
          </cell>
          <cell r="AW94">
            <v>137.91299513901834</v>
          </cell>
          <cell r="AX94">
            <v>33.804067113172209</v>
          </cell>
          <cell r="AY94">
            <v>-649.48383589024456</v>
          </cell>
          <cell r="AZ94">
            <v>-1547.6599122676816</v>
          </cell>
          <cell r="BA94">
            <v>-2040.3565412682294</v>
          </cell>
          <cell r="BB94">
            <v>-2570.319859389595</v>
          </cell>
          <cell r="BC94">
            <v>-2618.4558589006483</v>
          </cell>
          <cell r="BD94">
            <v>-2970.5828402083162</v>
          </cell>
          <cell r="BE94">
            <v>-2902.5030212866623</v>
          </cell>
          <cell r="BF94">
            <v>-3642.7581881444357</v>
          </cell>
          <cell r="BG94">
            <v>-3710.4812198510667</v>
          </cell>
          <cell r="BH94">
            <v>-654.69573213025092</v>
          </cell>
          <cell r="BI94">
            <v>-1875.1881123699588</v>
          </cell>
          <cell r="BJ94">
            <v>-2287.4758202837111</v>
          </cell>
          <cell r="BK94">
            <v>-2863.2596556676299</v>
          </cell>
          <cell r="BL94">
            <v>-2988.2325481941452</v>
          </cell>
          <cell r="BM94">
            <v>-3371.7187127453208</v>
          </cell>
          <cell r="BN94">
            <v>-3438.4395863400459</v>
          </cell>
          <cell r="BO94">
            <v>-4204.0802250904035</v>
          </cell>
          <cell r="BP94">
            <v>-4325.5882224816814</v>
          </cell>
          <cell r="BQ94">
            <v>5.2118962400066362</v>
          </cell>
          <cell r="BR94">
            <v>327.52820010227668</v>
          </cell>
          <cell r="BS94">
            <v>247.11927901548228</v>
          </cell>
          <cell r="BT94">
            <v>292.93979627803418</v>
          </cell>
          <cell r="BU94">
            <v>369.77668929349653</v>
          </cell>
          <cell r="BV94">
            <v>401.13587253700581</v>
          </cell>
          <cell r="BW94">
            <v>535.93656505338367</v>
          </cell>
          <cell r="BX94">
            <v>561.32203694596774</v>
          </cell>
          <cell r="BY94">
            <v>615.10700263061472</v>
          </cell>
          <cell r="BZ94" t="e">
            <v>#REF!</v>
          </cell>
          <cell r="CA94" t="e">
            <v>#REF!</v>
          </cell>
          <cell r="CB94" t="e">
            <v>#REF!</v>
          </cell>
          <cell r="CC94">
            <v>-1547.6599122676816</v>
          </cell>
          <cell r="CD94" t="e">
            <v>#REF!</v>
          </cell>
          <cell r="CE94" t="e">
            <v>#REF!</v>
          </cell>
          <cell r="CF94" t="e">
            <v>#REF!</v>
          </cell>
        </row>
        <row r="95">
          <cell r="AX95">
            <v>0</v>
          </cell>
          <cell r="BN95">
            <v>0</v>
          </cell>
          <cell r="BO95">
            <v>0</v>
          </cell>
        </row>
        <row r="96">
          <cell r="L96" t="e">
            <v>#REF!</v>
          </cell>
          <cell r="M96" t="e">
            <v>#REF!</v>
          </cell>
          <cell r="N96" t="e">
            <v>#REF!</v>
          </cell>
          <cell r="Q96">
            <v>890.21048852006766</v>
          </cell>
          <cell r="R96">
            <v>489.17203684915734</v>
          </cell>
          <cell r="S96">
            <v>526.42041784220692</v>
          </cell>
          <cell r="T96">
            <v>43.394175336371745</v>
          </cell>
          <cell r="U96">
            <v>349.40508194797616</v>
          </cell>
          <cell r="V96">
            <v>-71.192121544294253</v>
          </cell>
          <cell r="W96">
            <v>731.83657163718533</v>
          </cell>
          <cell r="X96">
            <v>67.723031706633776</v>
          </cell>
          <cell r="Y96">
            <v>525.49327769146953</v>
          </cell>
          <cell r="Z96">
            <v>602.33735328808928</v>
          </cell>
          <cell r="AA96">
            <v>4794.4480445924883</v>
          </cell>
          <cell r="AB96" t="e">
            <v>#REF!</v>
          </cell>
          <cell r="AC96" t="e">
            <v>#REF!</v>
          </cell>
          <cell r="AD96" t="e">
            <v>#REF!</v>
          </cell>
          <cell r="AE96">
            <v>590.84550737537973</v>
          </cell>
          <cell r="AF96">
            <v>5.8513556460382858</v>
          </cell>
          <cell r="AG96">
            <v>1278.4912493485408</v>
          </cell>
          <cell r="AH96">
            <v>412.28770791375325</v>
          </cell>
          <cell r="AI96">
            <v>575.78383538391915</v>
          </cell>
          <cell r="AJ96">
            <v>124.97289252651457</v>
          </cell>
          <cell r="AK96">
            <v>383.48616455117605</v>
          </cell>
          <cell r="AL96">
            <v>66.720873594724068</v>
          </cell>
          <cell r="AM96">
            <v>765.64063875035754</v>
          </cell>
          <cell r="AN96">
            <v>121.50799739127827</v>
          </cell>
          <cell r="AO96">
            <v>564.10987128517513</v>
          </cell>
          <cell r="AP96">
            <v>-31.100615840510159</v>
          </cell>
          <cell r="AQ96">
            <v>74.051484136716482</v>
          </cell>
          <cell r="AR96">
            <v>-388.28076082847315</v>
          </cell>
          <cell r="AS96">
            <v>76.884328935404085</v>
          </cell>
          <cell r="AT96">
            <v>-49.363417541712238</v>
          </cell>
          <cell r="AU96">
            <v>-81.578717190142825</v>
          </cell>
          <cell r="AV96">
            <v>-34.081082603199889</v>
          </cell>
          <cell r="AW96">
            <v>-137.91299513901834</v>
          </cell>
          <cell r="AX96">
            <v>-33.804067113172209</v>
          </cell>
          <cell r="AY96">
            <v>649.48383589024456</v>
          </cell>
          <cell r="AZ96">
            <v>1547.6599122676816</v>
          </cell>
          <cell r="BA96">
            <v>2040.3565412682294</v>
          </cell>
          <cell r="BB96">
            <v>2570.319859389595</v>
          </cell>
          <cell r="BC96">
            <v>2618.4558589006483</v>
          </cell>
          <cell r="BD96">
            <v>2970.5828402083162</v>
          </cell>
          <cell r="BE96">
            <v>2902.5030212866623</v>
          </cell>
          <cell r="BF96">
            <v>3642.7581881444357</v>
          </cell>
          <cell r="BG96">
            <v>3710.4812198510667</v>
          </cell>
          <cell r="BH96">
            <v>654.69573213025092</v>
          </cell>
          <cell r="BI96">
            <v>1875.1881123699588</v>
          </cell>
          <cell r="BJ96">
            <v>2287.4758202837111</v>
          </cell>
          <cell r="BK96">
            <v>2863.2596556676299</v>
          </cell>
          <cell r="BL96">
            <v>2988.2325481941452</v>
          </cell>
          <cell r="BM96">
            <v>3371.7187127453208</v>
          </cell>
          <cell r="BN96">
            <v>3438.4395863400459</v>
          </cell>
          <cell r="BO96">
            <v>4204.0802250904035</v>
          </cell>
          <cell r="BP96">
            <v>4325.5882224816814</v>
          </cell>
          <cell r="BQ96">
            <v>-5.2118962400066362</v>
          </cell>
          <cell r="BR96">
            <v>-327.52820010227668</v>
          </cell>
          <cell r="BS96">
            <v>-247.11927901548228</v>
          </cell>
          <cell r="BT96">
            <v>-292.93979627803418</v>
          </cell>
          <cell r="BU96">
            <v>-369.77668929349653</v>
          </cell>
          <cell r="BV96">
            <v>-401.13587253700581</v>
          </cell>
          <cell r="BW96">
            <v>-535.93656505338367</v>
          </cell>
          <cell r="BX96">
            <v>-561.32203694596774</v>
          </cell>
          <cell r="BY96">
            <v>-615.10700263061472</v>
          </cell>
          <cell r="BZ96" t="e">
            <v>#REF!</v>
          </cell>
          <cell r="CA96" t="e">
            <v>#REF!</v>
          </cell>
          <cell r="CB96" t="e">
            <v>#REF!</v>
          </cell>
          <cell r="CC96">
            <v>1547.6599122676816</v>
          </cell>
          <cell r="CD96" t="e">
            <v>#REF!</v>
          </cell>
          <cell r="CE96" t="e">
            <v>#REF!</v>
          </cell>
          <cell r="CF96" t="e">
            <v>#REF!</v>
          </cell>
        </row>
        <row r="97">
          <cell r="AX97">
            <v>0</v>
          </cell>
          <cell r="BN97">
            <v>0</v>
          </cell>
          <cell r="BO97">
            <v>0</v>
          </cell>
        </row>
        <row r="98">
          <cell r="L98">
            <v>639.05421527048111</v>
          </cell>
          <cell r="M98">
            <v>335.92549594676302</v>
          </cell>
          <cell r="N98">
            <v>974.97971121724413</v>
          </cell>
          <cell r="Q98">
            <v>2.9894620952923319</v>
          </cell>
          <cell r="R98">
            <v>-164.77816799706926</v>
          </cell>
          <cell r="S98">
            <v>-295.41200307049195</v>
          </cell>
          <cell r="T98">
            <v>1.1693489214799122</v>
          </cell>
          <cell r="U98">
            <v>-10.156778040254203</v>
          </cell>
          <cell r="V98">
            <v>2.7434353768728386</v>
          </cell>
          <cell r="W98">
            <v>-93.031746413190135</v>
          </cell>
          <cell r="X98">
            <v>43.998957597113261</v>
          </cell>
          <cell r="Y98">
            <v>24.711978947638865</v>
          </cell>
          <cell r="Z98">
            <v>189.83435812515449</v>
          </cell>
          <cell r="AA98">
            <v>759.39219859510604</v>
          </cell>
          <cell r="AB98">
            <v>0.59382894509799888</v>
          </cell>
          <cell r="AC98">
            <v>0.31215236222979464</v>
          </cell>
          <cell r="AD98">
            <v>0.90598130732779358</v>
          </cell>
          <cell r="AE98">
            <v>34.883341659996759</v>
          </cell>
          <cell r="AF98">
            <v>828.78595952418698</v>
          </cell>
          <cell r="AG98">
            <v>36.778636096465263</v>
          </cell>
          <cell r="AH98">
            <v>-103.89689032556608</v>
          </cell>
          <cell r="AI98">
            <v>-242.52994766108284</v>
          </cell>
          <cell r="AJ98">
            <v>52.087356112903294</v>
          </cell>
          <cell r="AK98">
            <v>40.920096609244311</v>
          </cell>
          <cell r="AL98">
            <v>41.739180194382115</v>
          </cell>
          <cell r="AM98">
            <v>-72.382533511861823</v>
          </cell>
          <cell r="AN98">
            <v>-29.276127941215918</v>
          </cell>
          <cell r="AO98">
            <v>91.586691720826991</v>
          </cell>
          <cell r="AP98">
            <v>-20.444387593865255</v>
          </cell>
          <cell r="AQ98">
            <v>214.09843946224112</v>
          </cell>
          <cell r="AR98">
            <v>-33.789174001172931</v>
          </cell>
          <cell r="AS98">
            <v>-60.881277671503184</v>
          </cell>
          <cell r="AT98">
            <v>-52.882055409409105</v>
          </cell>
          <cell r="AU98">
            <v>-50.918007191423385</v>
          </cell>
          <cell r="AV98">
            <v>-51.076874649498514</v>
          </cell>
          <cell r="AW98">
            <v>-38.995744817509276</v>
          </cell>
          <cell r="AX98">
            <v>-20.649212901328312</v>
          </cell>
          <cell r="AY98">
            <v>1057.3233530525597</v>
          </cell>
          <cell r="AZ98">
            <v>1060.3128151478522</v>
          </cell>
          <cell r="BA98">
            <v>895.53464715078269</v>
          </cell>
          <cell r="BB98">
            <v>600.12264408029068</v>
          </cell>
          <cell r="BC98">
            <v>601.29199300177049</v>
          </cell>
          <cell r="BD98">
            <v>591.13521496151657</v>
          </cell>
          <cell r="BE98">
            <v>593.87865033838943</v>
          </cell>
          <cell r="BF98">
            <v>500.84690392519929</v>
          </cell>
          <cell r="BG98">
            <v>544.84586152231236</v>
          </cell>
          <cell r="BH98">
            <v>863.66930118418372</v>
          </cell>
          <cell r="BI98">
            <v>900.44793728064883</v>
          </cell>
          <cell r="BJ98">
            <v>796.55104695508282</v>
          </cell>
          <cell r="BK98">
            <v>554.0210992939999</v>
          </cell>
          <cell r="BL98">
            <v>606.10845540690343</v>
          </cell>
          <cell r="BM98">
            <v>647.02855201614761</v>
          </cell>
          <cell r="BN98">
            <v>688.76773221052974</v>
          </cell>
          <cell r="BO98">
            <v>616.38519869866786</v>
          </cell>
          <cell r="BP98">
            <v>587.10907075745195</v>
          </cell>
          <cell r="BQ98">
            <v>193.65405186837592</v>
          </cell>
          <cell r="BR98">
            <v>159.86487786720298</v>
          </cell>
          <cell r="BS98">
            <v>98.983600195699808</v>
          </cell>
          <cell r="BT98">
            <v>46.101544786290731</v>
          </cell>
          <cell r="BU98">
            <v>-4.8164624051326967</v>
          </cell>
          <cell r="BV98">
            <v>-55.893337054631075</v>
          </cell>
          <cell r="BW98">
            <v>-94.889081872140309</v>
          </cell>
          <cell r="BX98">
            <v>-115.53829477346858</v>
          </cell>
          <cell r="BY98">
            <v>-42.263209235139584</v>
          </cell>
          <cell r="BZ98">
            <v>1.4981328000000005</v>
          </cell>
          <cell r="CA98">
            <v>366.78625418000001</v>
          </cell>
          <cell r="CB98">
            <v>263.98059999999998</v>
          </cell>
          <cell r="CC98">
            <v>1060.3128151478522</v>
          </cell>
          <cell r="CD98">
            <v>632.26498698</v>
          </cell>
          <cell r="CE98">
            <v>428.04782816785223</v>
          </cell>
          <cell r="CF98">
            <v>67.700700969132171</v>
          </cell>
        </row>
        <row r="99">
          <cell r="L99">
            <v>1428.4849897022912</v>
          </cell>
          <cell r="M99">
            <v>335.92549594676302</v>
          </cell>
          <cell r="N99">
            <v>1764.4104856490542</v>
          </cell>
          <cell r="Q99">
            <v>50.937557258403459</v>
          </cell>
          <cell r="R99">
            <v>37.39597355783981</v>
          </cell>
          <cell r="S99">
            <v>28.940566820708035</v>
          </cell>
          <cell r="T99">
            <v>30.712036930479918</v>
          </cell>
          <cell r="U99">
            <v>35.931942268301334</v>
          </cell>
          <cell r="V99">
            <v>84.686021780539505</v>
          </cell>
          <cell r="W99">
            <v>19.657021299809866</v>
          </cell>
          <cell r="X99">
            <v>156.90923406822435</v>
          </cell>
          <cell r="Y99">
            <v>37.102043533638863</v>
          </cell>
          <cell r="Z99">
            <v>219.22892079860355</v>
          </cell>
          <cell r="AA99">
            <v>1857.9286864009418</v>
          </cell>
          <cell r="AB99">
            <v>1.3273924406620223</v>
          </cell>
          <cell r="AC99">
            <v>0.31215236222979464</v>
          </cell>
          <cell r="AD99">
            <v>1.6395448028918169</v>
          </cell>
          <cell r="AE99">
            <v>60.376594117647059</v>
          </cell>
          <cell r="AF99">
            <v>907.19443251295115</v>
          </cell>
          <cell r="AG99">
            <v>88.734204559688919</v>
          </cell>
          <cell r="AH99">
            <v>42.168021793740976</v>
          </cell>
          <cell r="AI99">
            <v>57.148968347815327</v>
          </cell>
          <cell r="AJ99">
            <v>74.831563446766765</v>
          </cell>
          <cell r="AK99">
            <v>92.394756404912712</v>
          </cell>
          <cell r="AL99">
            <v>69.852676542503275</v>
          </cell>
          <cell r="AM99">
            <v>81.862530473357879</v>
          </cell>
          <cell r="AN99">
            <v>107.71517339232685</v>
          </cell>
          <cell r="AO99">
            <v>142.5262457243648</v>
          </cell>
          <cell r="AP99">
            <v>-21.052551138182217</v>
          </cell>
          <cell r="AQ99">
            <v>209.90889259197706</v>
          </cell>
          <cell r="AR99">
            <v>-37.796647301285461</v>
          </cell>
          <cell r="AS99">
            <v>-4.7720482359011669</v>
          </cell>
          <cell r="AT99">
            <v>-28.208401527107291</v>
          </cell>
          <cell r="AU99">
            <v>-44.119526516286847</v>
          </cell>
          <cell r="AV99">
            <v>-56.462814136611378</v>
          </cell>
          <cell r="AW99">
            <v>14.83334523803623</v>
          </cell>
          <cell r="AX99">
            <v>-62.205509173548009</v>
          </cell>
          <cell r="AY99">
            <v>1156.427368084393</v>
          </cell>
          <cell r="AZ99">
            <v>1207.3649253427966</v>
          </cell>
          <cell r="BA99">
            <v>1244.7608989006362</v>
          </cell>
          <cell r="BB99">
            <v>1273.7014657213442</v>
          </cell>
          <cell r="BC99">
            <v>1304.413502651824</v>
          </cell>
          <cell r="BD99">
            <v>1340.3454449201256</v>
          </cell>
          <cell r="BE99">
            <v>1425.0314667006651</v>
          </cell>
          <cell r="BF99">
            <v>1444.688488000475</v>
          </cell>
          <cell r="BG99">
            <v>1601.5977220686991</v>
          </cell>
          <cell r="BH99">
            <v>967.57102663059823</v>
          </cell>
          <cell r="BI99">
            <v>1056.305231190287</v>
          </cell>
          <cell r="BJ99">
            <v>1098.473252984028</v>
          </cell>
          <cell r="BK99">
            <v>1155.6222213318433</v>
          </cell>
          <cell r="BL99">
            <v>1230.4537847786103</v>
          </cell>
          <cell r="BM99">
            <v>1322.8485411835229</v>
          </cell>
          <cell r="BN99">
            <v>1392.701217726026</v>
          </cell>
          <cell r="BO99">
            <v>1474.563748199384</v>
          </cell>
          <cell r="BP99">
            <v>1582.278921591711</v>
          </cell>
          <cell r="BQ99">
            <v>188.85634145379476</v>
          </cell>
          <cell r="BR99">
            <v>151.05969415250931</v>
          </cell>
          <cell r="BS99">
            <v>146.28764591660814</v>
          </cell>
          <cell r="BT99">
            <v>118.07924438950084</v>
          </cell>
          <cell r="BU99">
            <v>73.959717873214018</v>
          </cell>
          <cell r="BV99">
            <v>17.496903736602661</v>
          </cell>
          <cell r="BW99">
            <v>32.330248974639062</v>
          </cell>
          <cell r="BX99">
            <v>-29.875260198909018</v>
          </cell>
          <cell r="BY99">
            <v>19.318800476988145</v>
          </cell>
          <cell r="BZ99">
            <v>17.5490368</v>
          </cell>
          <cell r="CA99">
            <v>447.42097360000002</v>
          </cell>
          <cell r="CB99">
            <v>321.45983000000001</v>
          </cell>
          <cell r="CC99">
            <v>1207.3649253427966</v>
          </cell>
          <cell r="CD99">
            <v>786.42984039999999</v>
          </cell>
          <cell r="CE99">
            <v>420.93508494279661</v>
          </cell>
          <cell r="CF99">
            <v>53.524810900956822</v>
          </cell>
        </row>
        <row r="100">
          <cell r="L100">
            <v>356.97048970229122</v>
          </cell>
          <cell r="N100">
            <v>356.97048970229122</v>
          </cell>
          <cell r="Q100">
            <v>25.211344145070115</v>
          </cell>
          <cell r="R100">
            <v>15.471296199657996</v>
          </cell>
          <cell r="S100">
            <v>14.601926332708032</v>
          </cell>
          <cell r="T100">
            <v>27.790709804368806</v>
          </cell>
          <cell r="U100">
            <v>24.114951007745784</v>
          </cell>
          <cell r="V100">
            <v>52.914449292206172</v>
          </cell>
          <cell r="W100">
            <v>10.4738662931432</v>
          </cell>
          <cell r="X100">
            <v>22.569315121557686</v>
          </cell>
          <cell r="Y100">
            <v>37.102043533638863</v>
          </cell>
          <cell r="Z100">
            <v>89.728920798603539</v>
          </cell>
          <cell r="AA100">
            <v>343.14598011434299</v>
          </cell>
          <cell r="AB100">
            <v>0.33170802142554823</v>
          </cell>
          <cell r="AC100" t="str">
            <v/>
          </cell>
          <cell r="AD100">
            <v>0.33170802142554823</v>
          </cell>
          <cell r="AE100">
            <v>31.6</v>
          </cell>
          <cell r="AF100">
            <v>33.909257759124486</v>
          </cell>
          <cell r="AG100">
            <v>45.457189265571266</v>
          </cell>
          <cell r="AH100">
            <v>19.748698264329217</v>
          </cell>
          <cell r="AI100">
            <v>21.840693053697674</v>
          </cell>
          <cell r="AJ100">
            <v>28.471841093825585</v>
          </cell>
          <cell r="AK100">
            <v>37.506622287265657</v>
          </cell>
          <cell r="AL100">
            <v>29.261461248385629</v>
          </cell>
          <cell r="AM100">
            <v>26.146386943946119</v>
          </cell>
          <cell r="AN100">
            <v>50.999029862915073</v>
          </cell>
          <cell r="AO100">
            <v>30.595363959658915</v>
          </cell>
          <cell r="AP100">
            <v>-28.748003050535168</v>
          </cell>
          <cell r="AQ100">
            <v>-13.594097122946511</v>
          </cell>
          <cell r="AR100">
            <v>-20.245845120501151</v>
          </cell>
          <cell r="AS100">
            <v>-4.2774020646712216</v>
          </cell>
          <cell r="AT100">
            <v>-7.2387667209896414</v>
          </cell>
          <cell r="AU100">
            <v>-0.68113128945677914</v>
          </cell>
          <cell r="AV100">
            <v>-13.391671279519873</v>
          </cell>
          <cell r="AW100">
            <v>23.652988043820542</v>
          </cell>
          <cell r="AX100">
            <v>-15.67252065080292</v>
          </cell>
          <cell r="AY100">
            <v>23.167157585642808</v>
          </cell>
          <cell r="AZ100">
            <v>48.378501730712927</v>
          </cell>
          <cell r="BA100">
            <v>63.849797930370926</v>
          </cell>
          <cell r="BB100">
            <v>78.451724263078958</v>
          </cell>
          <cell r="BC100">
            <v>106.24243406744776</v>
          </cell>
          <cell r="BD100">
            <v>130.35738507519355</v>
          </cell>
          <cell r="BE100">
            <v>183.27183436739972</v>
          </cell>
          <cell r="BF100">
            <v>193.74570066054292</v>
          </cell>
          <cell r="BG100">
            <v>216.3150157821006</v>
          </cell>
          <cell r="BH100">
            <v>65.509257759124495</v>
          </cell>
          <cell r="BI100">
            <v>110.96644702469575</v>
          </cell>
          <cell r="BJ100">
            <v>130.71514528902497</v>
          </cell>
          <cell r="BK100">
            <v>152.55583834272264</v>
          </cell>
          <cell r="BL100">
            <v>181.02767943654823</v>
          </cell>
          <cell r="BM100">
            <v>218.53430172381388</v>
          </cell>
          <cell r="BN100">
            <v>247.7957629721995</v>
          </cell>
          <cell r="BO100">
            <v>273.94214991614564</v>
          </cell>
          <cell r="BP100">
            <v>324.94117977906069</v>
          </cell>
          <cell r="BQ100">
            <v>-42.342100173481683</v>
          </cell>
          <cell r="BR100">
            <v>-62.587945293982827</v>
          </cell>
          <cell r="BS100">
            <v>-66.865347358654049</v>
          </cell>
          <cell r="BT100">
            <v>-74.104114079643679</v>
          </cell>
          <cell r="BU100">
            <v>-74.785245369100465</v>
          </cell>
          <cell r="BV100">
            <v>-88.176916648620335</v>
          </cell>
          <cell r="BW100">
            <v>-64.523928604799778</v>
          </cell>
          <cell r="BX100">
            <v>-80.196449255602715</v>
          </cell>
          <cell r="BY100">
            <v>-108.62616399696009</v>
          </cell>
          <cell r="BZ100">
            <v>1.8360000000000001</v>
          </cell>
          <cell r="CA100">
            <v>9.57714</v>
          </cell>
          <cell r="CB100">
            <v>13.1625</v>
          </cell>
          <cell r="CC100">
            <v>48.378501730712927</v>
          </cell>
          <cell r="CD100">
            <v>24.57564</v>
          </cell>
          <cell r="CE100">
            <v>23.802861730712927</v>
          </cell>
          <cell r="CF100">
            <v>96.855511110648294</v>
          </cell>
        </row>
        <row r="101">
          <cell r="L101">
            <v>1071.5145</v>
          </cell>
          <cell r="N101">
            <v>1071.5145</v>
          </cell>
          <cell r="Q101">
            <v>0</v>
          </cell>
          <cell r="R101">
            <v>0</v>
          </cell>
          <cell r="S101">
            <v>0</v>
          </cell>
          <cell r="T101">
            <v>0</v>
          </cell>
          <cell r="U101">
            <v>0</v>
          </cell>
          <cell r="V101">
            <v>0</v>
          </cell>
          <cell r="W101">
            <v>0</v>
          </cell>
          <cell r="X101">
            <v>125.86422222222221</v>
          </cell>
          <cell r="Y101">
            <v>0</v>
          </cell>
          <cell r="Z101">
            <v>129.5</v>
          </cell>
          <cell r="AA101">
            <v>1326.9345440034724</v>
          </cell>
          <cell r="AB101">
            <v>0.99568441923647422</v>
          </cell>
          <cell r="AC101" t="str">
            <v/>
          </cell>
          <cell r="AD101">
            <v>0.99568441923647422</v>
          </cell>
          <cell r="AE101">
            <v>0</v>
          </cell>
          <cell r="AF101">
            <v>802.26950534206196</v>
          </cell>
          <cell r="AG101">
            <v>0</v>
          </cell>
          <cell r="AH101">
            <v>0</v>
          </cell>
          <cell r="AI101">
            <v>0</v>
          </cell>
          <cell r="AJ101">
            <v>0</v>
          </cell>
          <cell r="AK101">
            <v>0</v>
          </cell>
          <cell r="AL101">
            <v>0</v>
          </cell>
          <cell r="AM101">
            <v>0</v>
          </cell>
          <cell r="AN101">
            <v>0</v>
          </cell>
          <cell r="AO101">
            <v>0</v>
          </cell>
          <cell r="AP101">
            <v>0</v>
          </cell>
          <cell r="AQ101">
            <v>269.30081643918822</v>
          </cell>
          <cell r="AR101">
            <v>0</v>
          </cell>
          <cell r="AS101">
            <v>0</v>
          </cell>
          <cell r="AT101">
            <v>0</v>
          </cell>
          <cell r="AU101">
            <v>0</v>
          </cell>
          <cell r="AV101">
            <v>0</v>
          </cell>
          <cell r="AW101">
            <v>0</v>
          </cell>
          <cell r="AX101">
            <v>0</v>
          </cell>
          <cell r="AY101">
            <v>1071.5703217812502</v>
          </cell>
          <cell r="AZ101">
            <v>1071.5703217812502</v>
          </cell>
          <cell r="BA101">
            <v>1071.5703217812502</v>
          </cell>
          <cell r="BB101">
            <v>1071.5703217812502</v>
          </cell>
          <cell r="BC101">
            <v>1071.5703217812502</v>
          </cell>
          <cell r="BD101">
            <v>1071.5703217812502</v>
          </cell>
          <cell r="BE101">
            <v>1071.5703217812502</v>
          </cell>
          <cell r="BF101">
            <v>1071.5703217812502</v>
          </cell>
          <cell r="BG101">
            <v>1197.4345440034724</v>
          </cell>
          <cell r="BH101">
            <v>802.26950534206196</v>
          </cell>
          <cell r="BI101">
            <v>802.26950534206196</v>
          </cell>
          <cell r="BJ101">
            <v>802.26950534206196</v>
          </cell>
          <cell r="BK101">
            <v>802.26950534206196</v>
          </cell>
          <cell r="BL101">
            <v>802.26950534206196</v>
          </cell>
          <cell r="BM101">
            <v>802.26950534206196</v>
          </cell>
          <cell r="BN101">
            <v>802.26950534206196</v>
          </cell>
          <cell r="BO101">
            <v>802.26950534206196</v>
          </cell>
          <cell r="BP101">
            <v>802.26950534206196</v>
          </cell>
          <cell r="BQ101">
            <v>269.30081643918822</v>
          </cell>
          <cell r="BR101">
            <v>269.30081643918822</v>
          </cell>
          <cell r="BS101">
            <v>269.30081643918822</v>
          </cell>
          <cell r="BT101">
            <v>269.30081643918822</v>
          </cell>
          <cell r="BU101">
            <v>269.30081643918822</v>
          </cell>
          <cell r="BV101">
            <v>269.30081643918822</v>
          </cell>
          <cell r="BW101">
            <v>269.30081643918822</v>
          </cell>
          <cell r="BX101">
            <v>269.30081643918822</v>
          </cell>
          <cell r="BY101">
            <v>395.16503866141045</v>
          </cell>
          <cell r="BZ101">
            <v>0</v>
          </cell>
          <cell r="CA101">
            <v>410.29914000000002</v>
          </cell>
          <cell r="CB101">
            <v>297.97899999999998</v>
          </cell>
          <cell r="CC101">
            <v>1071.5703217812502</v>
          </cell>
          <cell r="CD101">
            <v>708.27814000000001</v>
          </cell>
          <cell r="CE101">
            <v>363.29218178125018</v>
          </cell>
          <cell r="CF101">
            <v>51.292304712559698</v>
          </cell>
        </row>
        <row r="102">
          <cell r="M102">
            <v>335.92549594676302</v>
          </cell>
          <cell r="N102">
            <v>335.92549594676302</v>
          </cell>
          <cell r="Q102">
            <v>25.72621311333334</v>
          </cell>
          <cell r="R102">
            <v>21.924677358181814</v>
          </cell>
          <cell r="S102">
            <v>14.338640488000003</v>
          </cell>
          <cell r="T102">
            <v>2.9213271261111111</v>
          </cell>
          <cell r="U102">
            <v>11.816991260555552</v>
          </cell>
          <cell r="V102">
            <v>31.771572488333337</v>
          </cell>
          <cell r="W102">
            <v>9.1831550066666665</v>
          </cell>
          <cell r="X102">
            <v>8.475696724444445</v>
          </cell>
          <cell r="Y102">
            <v>0</v>
          </cell>
          <cell r="Z102">
            <v>0</v>
          </cell>
          <cell r="AA102">
            <v>187.84816228312627</v>
          </cell>
          <cell r="AB102" t="str">
            <v/>
          </cell>
          <cell r="AC102">
            <v>0.31215236222979464</v>
          </cell>
          <cell r="AD102">
            <v>0.31215236222979464</v>
          </cell>
          <cell r="AE102">
            <v>28.776594117647058</v>
          </cell>
          <cell r="AF102">
            <v>71.015669411764705</v>
          </cell>
          <cell r="AG102">
            <v>43.277015294117646</v>
          </cell>
          <cell r="AH102">
            <v>22.419323529411763</v>
          </cell>
          <cell r="AI102">
            <v>35.308275294117649</v>
          </cell>
          <cell r="AJ102">
            <v>46.359722352941176</v>
          </cell>
          <cell r="AK102">
            <v>54.888134117647056</v>
          </cell>
          <cell r="AL102">
            <v>40.591215294117646</v>
          </cell>
          <cell r="AM102">
            <v>55.716143529411767</v>
          </cell>
          <cell r="AN102">
            <v>56.716143529411767</v>
          </cell>
          <cell r="AO102">
            <v>111.93088176470587</v>
          </cell>
          <cell r="AP102">
            <v>7.6954519123529508</v>
          </cell>
          <cell r="AQ102">
            <v>-45.797826724264695</v>
          </cell>
          <cell r="AR102">
            <v>-17.550802180784306</v>
          </cell>
          <cell r="AS102">
            <v>-0.49464617122994881</v>
          </cell>
          <cell r="AT102">
            <v>-20.969634806117647</v>
          </cell>
          <cell r="AU102">
            <v>-43.438395226830067</v>
          </cell>
          <cell r="AV102">
            <v>-43.071142857091502</v>
          </cell>
          <cell r="AW102">
            <v>-8.8196428057843086</v>
          </cell>
          <cell r="AX102">
            <v>-46.5329885227451</v>
          </cell>
          <cell r="AY102">
            <v>61.689888717500011</v>
          </cell>
          <cell r="AZ102">
            <v>87.416101830833355</v>
          </cell>
          <cell r="BA102">
            <v>109.34077918901517</v>
          </cell>
          <cell r="BB102">
            <v>123.67941967701518</v>
          </cell>
          <cell r="BC102">
            <v>126.60074680312628</v>
          </cell>
          <cell r="BD102">
            <v>138.41773806368184</v>
          </cell>
          <cell r="BE102">
            <v>170.18931055201517</v>
          </cell>
          <cell r="BF102">
            <v>179.37246555868182</v>
          </cell>
          <cell r="BG102">
            <v>187.84816228312627</v>
          </cell>
          <cell r="BH102">
            <v>99.79226352941177</v>
          </cell>
          <cell r="BI102">
            <v>143.06927882352943</v>
          </cell>
          <cell r="BJ102">
            <v>165.4886023529412</v>
          </cell>
          <cell r="BK102">
            <v>200.79687764705886</v>
          </cell>
          <cell r="BL102">
            <v>247.15660000000003</v>
          </cell>
          <cell r="BM102">
            <v>302.04473411764707</v>
          </cell>
          <cell r="BN102">
            <v>342.63594941176473</v>
          </cell>
          <cell r="BO102">
            <v>398.35209294117647</v>
          </cell>
          <cell r="BP102">
            <v>455.0682364705882</v>
          </cell>
          <cell r="BQ102">
            <v>-38.102374811911758</v>
          </cell>
          <cell r="BR102">
            <v>-55.653176992696075</v>
          </cell>
          <cell r="BS102">
            <v>-56.147823163926034</v>
          </cell>
          <cell r="BT102">
            <v>-77.117457970043688</v>
          </cell>
          <cell r="BU102">
            <v>-120.55585319687374</v>
          </cell>
          <cell r="BV102">
            <v>-163.62699605396523</v>
          </cell>
          <cell r="BW102">
            <v>-172.44663885974956</v>
          </cell>
          <cell r="BX102">
            <v>-218.97962738249464</v>
          </cell>
          <cell r="BY102">
            <v>-267.22007418746193</v>
          </cell>
          <cell r="BZ102">
            <v>15.713036800000001</v>
          </cell>
          <cell r="CA102">
            <v>27.544693599999995</v>
          </cell>
          <cell r="CB102">
            <v>10.31833</v>
          </cell>
          <cell r="CC102">
            <v>87.416101830833355</v>
          </cell>
          <cell r="CD102">
            <v>53.576060400000003</v>
          </cell>
          <cell r="CE102">
            <v>33.840041430833352</v>
          </cell>
          <cell r="CF102">
            <v>63.162616247224769</v>
          </cell>
        </row>
        <row r="103">
          <cell r="L103">
            <v>789.43077443181005</v>
          </cell>
          <cell r="M103">
            <v>0</v>
          </cell>
          <cell r="N103">
            <v>789.43077443181005</v>
          </cell>
          <cell r="Q103">
            <v>47.948095163111127</v>
          </cell>
          <cell r="R103">
            <v>202.17414155490908</v>
          </cell>
          <cell r="S103">
            <v>324.35256989120001</v>
          </cell>
          <cell r="T103">
            <v>29.542688009000006</v>
          </cell>
          <cell r="U103">
            <v>46.088720308555537</v>
          </cell>
          <cell r="V103">
            <v>81.942586403666667</v>
          </cell>
          <cell r="W103">
            <v>112.688767713</v>
          </cell>
          <cell r="X103">
            <v>112.91027647111109</v>
          </cell>
          <cell r="Y103">
            <v>12.390064585999998</v>
          </cell>
          <cell r="Z103">
            <v>29.394562673449055</v>
          </cell>
          <cell r="AA103">
            <v>1098.5364878058358</v>
          </cell>
          <cell r="AB103">
            <v>0.73356349556402356</v>
          </cell>
          <cell r="AC103" t="str">
            <v/>
          </cell>
          <cell r="AD103">
            <v>0.73356349556402356</v>
          </cell>
          <cell r="AE103">
            <v>25.493252457650296</v>
          </cell>
          <cell r="AF103">
            <v>78.408472988764188</v>
          </cell>
          <cell r="AG103">
            <v>51.955568463223656</v>
          </cell>
          <cell r="AH103">
            <v>146.06491211930705</v>
          </cell>
          <cell r="AI103">
            <v>299.67891600889817</v>
          </cell>
          <cell r="AJ103">
            <v>22.744207333863471</v>
          </cell>
          <cell r="AK103">
            <v>51.474659795668401</v>
          </cell>
          <cell r="AL103">
            <v>28.113496348121156</v>
          </cell>
          <cell r="AM103">
            <v>154.2450639852197</v>
          </cell>
          <cell r="AN103">
            <v>136.99130133354276</v>
          </cell>
          <cell r="AO103">
            <v>50.9395540035378</v>
          </cell>
          <cell r="AP103">
            <v>-0.60816354431695885</v>
          </cell>
          <cell r="AQ103">
            <v>-4.1895468702641807</v>
          </cell>
          <cell r="AR103">
            <v>-4.0074733001125296</v>
          </cell>
          <cell r="AS103">
            <v>56.109229435602032</v>
          </cell>
          <cell r="AT103">
            <v>24.673653882301835</v>
          </cell>
          <cell r="AU103">
            <v>6.7984806751365348</v>
          </cell>
          <cell r="AV103">
            <v>-5.3859394871128643</v>
          </cell>
          <cell r="AW103">
            <v>53.829090055545507</v>
          </cell>
          <cell r="AX103">
            <v>-41.556296272219697</v>
          </cell>
          <cell r="AY103">
            <v>99.104015031833342</v>
          </cell>
          <cell r="AZ103">
            <v>147.05211019494448</v>
          </cell>
          <cell r="BA103">
            <v>349.22625174985353</v>
          </cell>
          <cell r="BB103">
            <v>673.57882164105354</v>
          </cell>
          <cell r="BC103">
            <v>703.12150965005355</v>
          </cell>
          <cell r="BD103">
            <v>749.21022995860903</v>
          </cell>
          <cell r="BE103">
            <v>831.15281636227564</v>
          </cell>
          <cell r="BF103">
            <v>943.8415840752757</v>
          </cell>
          <cell r="BG103">
            <v>1056.7518605463868</v>
          </cell>
          <cell r="BH103">
            <v>103.90172544641449</v>
          </cell>
          <cell r="BI103">
            <v>155.85729390963814</v>
          </cell>
          <cell r="BJ103">
            <v>301.9222060289452</v>
          </cell>
          <cell r="BK103">
            <v>601.60112203784342</v>
          </cell>
          <cell r="BL103">
            <v>624.34532937170684</v>
          </cell>
          <cell r="BM103">
            <v>675.8199891673753</v>
          </cell>
          <cell r="BN103">
            <v>703.9334855154965</v>
          </cell>
          <cell r="BO103">
            <v>858.17854950071614</v>
          </cell>
          <cell r="BP103">
            <v>995.16985083425891</v>
          </cell>
          <cell r="BQ103">
            <v>-4.7977104145811467</v>
          </cell>
          <cell r="BR103">
            <v>-8.8051837146936691</v>
          </cell>
          <cell r="BS103">
            <v>47.304045720908334</v>
          </cell>
          <cell r="BT103">
            <v>71.977699603210112</v>
          </cell>
          <cell r="BU103">
            <v>78.776180278346715</v>
          </cell>
          <cell r="BV103">
            <v>73.390240791233737</v>
          </cell>
          <cell r="BW103">
            <v>127.21933084677914</v>
          </cell>
          <cell r="BX103">
            <v>85.66303457455956</v>
          </cell>
          <cell r="BY103">
            <v>61.582009712127842</v>
          </cell>
          <cell r="BZ103">
            <v>16.050903999999999</v>
          </cell>
          <cell r="CA103">
            <v>80.634719419999996</v>
          </cell>
          <cell r="CB103">
            <v>57.479230000000001</v>
          </cell>
          <cell r="CC103">
            <v>147.05211019494448</v>
          </cell>
          <cell r="CD103">
            <v>154.16485341999999</v>
          </cell>
          <cell r="CE103">
            <v>-7.1127432250555103</v>
          </cell>
          <cell r="CF103">
            <v>-4.613725545911473</v>
          </cell>
        </row>
        <row r="104">
          <cell r="G104" t="str">
            <v>Menos Bonos Ley 55/85 y Otros</v>
          </cell>
          <cell r="L104">
            <v>279.56515974264568</v>
          </cell>
          <cell r="N104">
            <v>279.56515974264568</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0.25978059439896362</v>
          </cell>
          <cell r="AC104" t="str">
            <v/>
          </cell>
          <cell r="AD104">
            <v>0.25978059439896362</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I104">
            <v>0</v>
          </cell>
          <cell r="BJ104">
            <v>0</v>
          </cell>
          <cell r="BK104">
            <v>0</v>
          </cell>
          <cell r="BL104">
            <v>0</v>
          </cell>
          <cell r="BM104">
            <v>0</v>
          </cell>
          <cell r="BN104">
            <v>0</v>
          </cell>
          <cell r="BO104">
            <v>0</v>
          </cell>
          <cell r="BP104">
            <v>0</v>
          </cell>
          <cell r="BW104">
            <v>0</v>
          </cell>
          <cell r="BX104">
            <v>0</v>
          </cell>
          <cell r="BY104">
            <v>0</v>
          </cell>
          <cell r="CC104">
            <v>0</v>
          </cell>
          <cell r="CD104">
            <v>0</v>
          </cell>
          <cell r="CE104">
            <v>0</v>
          </cell>
          <cell r="CF104" t="str">
            <v xml:space="preserve">n.a. </v>
          </cell>
        </row>
        <row r="105">
          <cell r="AX105">
            <v>0</v>
          </cell>
          <cell r="BN105">
            <v>0</v>
          </cell>
          <cell r="BO105">
            <v>0</v>
          </cell>
        </row>
        <row r="106">
          <cell r="L106" t="e">
            <v>#REF!</v>
          </cell>
          <cell r="M106" t="e">
            <v>#REF!</v>
          </cell>
          <cell r="N106" t="e">
            <v>#REF!</v>
          </cell>
          <cell r="Q106">
            <v>206.27681502049001</v>
          </cell>
          <cell r="R106">
            <v>639.88448619985002</v>
          </cell>
          <cell r="S106">
            <v>652.53199717977998</v>
          </cell>
          <cell r="T106">
            <v>248.23939259432001</v>
          </cell>
          <cell r="U106">
            <v>304.01528822100011</v>
          </cell>
          <cell r="V106">
            <v>420.99438568722007</v>
          </cell>
          <cell r="W106">
            <v>46.367790962989829</v>
          </cell>
          <cell r="X106">
            <v>583.99450135899986</v>
          </cell>
          <cell r="Y106">
            <v>70.188505643999989</v>
          </cell>
          <cell r="Z106">
            <v>-202.6288738400001</v>
          </cell>
          <cell r="AA106">
            <v>4055.4105103676493</v>
          </cell>
          <cell r="AB106" t="e">
            <v>#REF!</v>
          </cell>
          <cell r="AC106" t="e">
            <v>#REF!</v>
          </cell>
          <cell r="AD106" t="e">
            <v>#REF!</v>
          </cell>
          <cell r="AE106">
            <v>257.41269150581837</v>
          </cell>
          <cell r="AF106">
            <v>166.61080914380179</v>
          </cell>
          <cell r="AG106">
            <v>202.07436370859196</v>
          </cell>
          <cell r="AH106">
            <v>577.5588673884979</v>
          </cell>
          <cell r="AI106">
            <v>367.08218172257608</v>
          </cell>
          <cell r="AJ106">
            <v>346.06187568583243</v>
          </cell>
          <cell r="AK106">
            <v>117.1763798686485</v>
          </cell>
          <cell r="AL106">
            <v>-19.196601741356289</v>
          </cell>
          <cell r="AM106">
            <v>66.673193170564787</v>
          </cell>
          <cell r="AN106">
            <v>359.89872821879396</v>
          </cell>
          <cell r="AO106">
            <v>255.9316246498239</v>
          </cell>
          <cell r="AP106">
            <v>602.54650179418172</v>
          </cell>
          <cell r="AQ106">
            <v>58.97621889519823</v>
          </cell>
          <cell r="AR106">
            <v>4.2024513118980451</v>
          </cell>
          <cell r="AS106">
            <v>62.325618811352115</v>
          </cell>
          <cell r="AT106">
            <v>285.4498154572039</v>
          </cell>
          <cell r="AU106">
            <v>-97.822483091512424</v>
          </cell>
          <cell r="AV106">
            <v>186.83890835235161</v>
          </cell>
          <cell r="AW106">
            <v>440.19098742857636</v>
          </cell>
          <cell r="AX106">
            <v>-20.305402207574957</v>
          </cell>
          <cell r="AY106">
            <v>1085.5462213389999</v>
          </cell>
          <cell r="AZ106">
            <v>1291.8230363594898</v>
          </cell>
          <cell r="BA106">
            <v>1931.7075225593398</v>
          </cell>
          <cell r="BB106">
            <v>2584.2395197391197</v>
          </cell>
          <cell r="BC106">
            <v>2832.4789123334403</v>
          </cell>
          <cell r="BD106">
            <v>3136.4942005544408</v>
          </cell>
          <cell r="BE106">
            <v>3557.48858624166</v>
          </cell>
          <cell r="BF106">
            <v>3603.8563772046491</v>
          </cell>
          <cell r="BG106">
            <v>4187.8508785636486</v>
          </cell>
          <cell r="BH106">
            <v>424.02350064962013</v>
          </cell>
          <cell r="BI106">
            <v>626.09786435821229</v>
          </cell>
          <cell r="BJ106">
            <v>1203.6567317467102</v>
          </cell>
          <cell r="BK106">
            <v>1570.7389134692862</v>
          </cell>
          <cell r="BL106">
            <v>1916.8007891551183</v>
          </cell>
          <cell r="BM106">
            <v>1883.9771690237671</v>
          </cell>
          <cell r="BN106">
            <v>2014.7805672824104</v>
          </cell>
          <cell r="BO106">
            <v>2081.4537604529751</v>
          </cell>
          <cell r="BP106">
            <v>2441.3524886717692</v>
          </cell>
          <cell r="BQ106">
            <v>661.52272068937975</v>
          </cell>
          <cell r="BR106">
            <v>665.72517200127766</v>
          </cell>
          <cell r="BS106">
            <v>728.05079081262954</v>
          </cell>
          <cell r="BT106">
            <v>1013.5006062698337</v>
          </cell>
          <cell r="BU106">
            <v>915.67812317832113</v>
          </cell>
          <cell r="BV106">
            <v>1252.5170315306732</v>
          </cell>
          <cell r="BW106">
            <v>1542.7080189592496</v>
          </cell>
          <cell r="BX106">
            <v>1522.402616751674</v>
          </cell>
          <cell r="BY106">
            <v>1746.4983898918795</v>
          </cell>
          <cell r="BZ106">
            <v>243.755</v>
          </cell>
          <cell r="CA106">
            <v>-104.41860000000003</v>
          </cell>
          <cell r="CB106">
            <v>186.23699999999997</v>
          </cell>
          <cell r="CC106">
            <v>1291.8230363594898</v>
          </cell>
          <cell r="CD106">
            <v>325.57339999999999</v>
          </cell>
          <cell r="CE106">
            <v>966.24963635948984</v>
          </cell>
          <cell r="CF106">
            <v>296.78396219085766</v>
          </cell>
        </row>
        <row r="107">
          <cell r="L107" t="e">
            <v>#REF!</v>
          </cell>
          <cell r="M107" t="e">
            <v>#REF!</v>
          </cell>
          <cell r="N107" t="e">
            <v>#REF!</v>
          </cell>
          <cell r="Q107">
            <v>462.70712472049001</v>
          </cell>
          <cell r="R107">
            <v>1088.91101183302</v>
          </cell>
          <cell r="S107">
            <v>927.42099089452995</v>
          </cell>
          <cell r="T107">
            <v>395.50859826532002</v>
          </cell>
          <cell r="U107">
            <v>828.39575822100005</v>
          </cell>
          <cell r="V107">
            <v>692.66227908200005</v>
          </cell>
          <cell r="W107">
            <v>559.36255331399991</v>
          </cell>
          <cell r="X107">
            <v>641.7194013589999</v>
          </cell>
          <cell r="Y107">
            <v>155.74210564399999</v>
          </cell>
          <cell r="Z107">
            <v>149.57612615999989</v>
          </cell>
          <cell r="AA107">
            <v>7196.4493439323596</v>
          </cell>
          <cell r="AB107" t="e">
            <v>#REF!</v>
          </cell>
          <cell r="AC107" t="e">
            <v>#REF!</v>
          </cell>
          <cell r="AD107" t="e">
            <v>#REF!</v>
          </cell>
          <cell r="AE107">
            <v>396.71800000000002</v>
          </cell>
          <cell r="AF107">
            <v>230.15110914380179</v>
          </cell>
          <cell r="AG107">
            <v>437.34327619978995</v>
          </cell>
          <cell r="AH107">
            <v>997.21158021495796</v>
          </cell>
          <cell r="AI107">
            <v>670.7728257158501</v>
          </cell>
          <cell r="AJ107">
            <v>511.91857889883244</v>
          </cell>
          <cell r="AK107">
            <v>714.08966999580252</v>
          </cell>
          <cell r="AL107">
            <v>520.34018775564368</v>
          </cell>
          <cell r="AM107">
            <v>647.75248287969373</v>
          </cell>
          <cell r="AN107">
            <v>405.01155945365394</v>
          </cell>
          <cell r="AO107">
            <v>322.060455079473</v>
          </cell>
          <cell r="AP107">
            <v>617.52199999999993</v>
          </cell>
          <cell r="AQ107">
            <v>50.052285295198232</v>
          </cell>
          <cell r="AR107">
            <v>25.36384852070006</v>
          </cell>
          <cell r="AS107">
            <v>91.699431618062022</v>
          </cell>
          <cell r="AT107">
            <v>256.64816517867985</v>
          </cell>
          <cell r="AU107">
            <v>-116.40998063351242</v>
          </cell>
          <cell r="AV107">
            <v>114.30608822519753</v>
          </cell>
          <cell r="AW107">
            <v>172.32209132635637</v>
          </cell>
          <cell r="AX107">
            <v>-88.389929565693819</v>
          </cell>
          <cell r="AY107">
            <v>1294.4433944389998</v>
          </cell>
          <cell r="AZ107">
            <v>1757.1505191594899</v>
          </cell>
          <cell r="BA107">
            <v>2846.0615309925097</v>
          </cell>
          <cell r="BB107">
            <v>3773.4825218870396</v>
          </cell>
          <cell r="BC107">
            <v>4168.9911201523601</v>
          </cell>
          <cell r="BD107">
            <v>4997.3868783733606</v>
          </cell>
          <cell r="BE107">
            <v>5690.0491574553598</v>
          </cell>
          <cell r="BF107">
            <v>6249.4117107693592</v>
          </cell>
          <cell r="BG107">
            <v>6891.1311121283588</v>
          </cell>
          <cell r="BH107">
            <v>626.86910914380178</v>
          </cell>
          <cell r="BI107">
            <v>1064.2123853435919</v>
          </cell>
          <cell r="BJ107">
            <v>2061.4239655585498</v>
          </cell>
          <cell r="BK107">
            <v>2732.1967912743999</v>
          </cell>
          <cell r="BL107">
            <v>3244.1153701732319</v>
          </cell>
          <cell r="BM107">
            <v>3958.2050401690349</v>
          </cell>
          <cell r="BN107">
            <v>4478.5452279246783</v>
          </cell>
          <cell r="BO107">
            <v>5126.2977108043724</v>
          </cell>
          <cell r="BP107">
            <v>5531.3092702580261</v>
          </cell>
          <cell r="BQ107">
            <v>667.57428529519814</v>
          </cell>
          <cell r="BR107">
            <v>692.93813381589803</v>
          </cell>
          <cell r="BS107">
            <v>784.63756543395994</v>
          </cell>
          <cell r="BT107">
            <v>1041.28573061264</v>
          </cell>
          <cell r="BU107">
            <v>924.87574997912748</v>
          </cell>
          <cell r="BV107">
            <v>1039.1818382043252</v>
          </cell>
          <cell r="BW107">
            <v>1211.5039295306815</v>
          </cell>
          <cell r="BX107">
            <v>1123.1139999649868</v>
          </cell>
          <cell r="BY107">
            <v>1359.8218418703327</v>
          </cell>
          <cell r="BZ107">
            <v>300.08199999999999</v>
          </cell>
          <cell r="CA107">
            <v>281.39999999999998</v>
          </cell>
          <cell r="CB107">
            <v>394.53199999999998</v>
          </cell>
          <cell r="CC107">
            <v>1757.1505191594899</v>
          </cell>
          <cell r="CD107">
            <v>976.01400000000001</v>
          </cell>
          <cell r="CE107">
            <v>781.13651915948992</v>
          </cell>
          <cell r="CF107">
            <v>80.033331402980906</v>
          </cell>
        </row>
        <row r="108">
          <cell r="L108">
            <v>5977.6461322326977</v>
          </cell>
          <cell r="M108">
            <v>0</v>
          </cell>
          <cell r="N108">
            <v>5977.6461322326977</v>
          </cell>
          <cell r="Q108">
            <v>462.70712472049001</v>
          </cell>
          <cell r="R108">
            <v>1088.91101183302</v>
          </cell>
          <cell r="S108">
            <v>718.84242761753001</v>
          </cell>
          <cell r="T108">
            <v>393.189057263</v>
          </cell>
          <cell r="U108">
            <v>743.365338221</v>
          </cell>
          <cell r="V108">
            <v>625.69829108200008</v>
          </cell>
          <cell r="W108">
            <v>551.82264131399995</v>
          </cell>
          <cell r="X108">
            <v>635.25968435899995</v>
          </cell>
          <cell r="Y108">
            <v>150.814092644</v>
          </cell>
          <cell r="Z108">
            <v>148.83265815999988</v>
          </cell>
          <cell r="AA108">
            <v>6783.8857216530396</v>
          </cell>
          <cell r="AB108">
            <v>5.5546136963832682</v>
          </cell>
          <cell r="AC108" t="str">
            <v/>
          </cell>
          <cell r="AD108">
            <v>5.5546136963832682</v>
          </cell>
          <cell r="AE108">
            <v>366.71800000000002</v>
          </cell>
          <cell r="AF108">
            <v>230.15110914380179</v>
          </cell>
          <cell r="AG108">
            <v>437.34327619978995</v>
          </cell>
          <cell r="AH108">
            <v>997.21158021495796</v>
          </cell>
          <cell r="AI108">
            <v>608.76358658717902</v>
          </cell>
          <cell r="AJ108">
            <v>363.30695944018055</v>
          </cell>
          <cell r="AK108">
            <v>639.43524439606597</v>
          </cell>
          <cell r="AL108">
            <v>422.03017174382603</v>
          </cell>
          <cell r="AM108">
            <v>643.60206961169797</v>
          </cell>
          <cell r="AN108">
            <v>371.73436399999997</v>
          </cell>
          <cell r="AO108">
            <v>317.07336399999997</v>
          </cell>
          <cell r="AP108">
            <v>617.52199999999993</v>
          </cell>
          <cell r="AQ108">
            <v>50.052285295198232</v>
          </cell>
          <cell r="AR108">
            <v>25.36384852070006</v>
          </cell>
          <cell r="AS108">
            <v>91.699431618062022</v>
          </cell>
          <cell r="AT108">
            <v>110.07884103035099</v>
          </cell>
          <cell r="AU108">
            <v>29.882097822819446</v>
          </cell>
          <cell r="AV108">
            <v>103.93009382493403</v>
          </cell>
          <cell r="AW108">
            <v>203.66811933817405</v>
          </cell>
          <cell r="AX108">
            <v>-91.779428297698018</v>
          </cell>
          <cell r="AY108">
            <v>1264.4433944389998</v>
          </cell>
          <cell r="AZ108">
            <v>1727.1505191594899</v>
          </cell>
          <cell r="BA108">
            <v>2816.0615309925097</v>
          </cell>
          <cell r="BB108">
            <v>3534.9039586100398</v>
          </cell>
          <cell r="BC108">
            <v>3928.0930158730398</v>
          </cell>
          <cell r="BD108">
            <v>4671.4583540940403</v>
          </cell>
          <cell r="BE108">
            <v>5297.15664517604</v>
          </cell>
          <cell r="BF108">
            <v>5848.9792864900392</v>
          </cell>
          <cell r="BG108">
            <v>6484.2389708490391</v>
          </cell>
          <cell r="BH108">
            <v>596.86910914380178</v>
          </cell>
          <cell r="BI108">
            <v>1034.2123853435919</v>
          </cell>
          <cell r="BJ108">
            <v>2031.4239655585498</v>
          </cell>
          <cell r="BK108">
            <v>2640.1875521457287</v>
          </cell>
          <cell r="BL108">
            <v>3003.4945115859091</v>
          </cell>
          <cell r="BM108">
            <v>3642.9297559819752</v>
          </cell>
          <cell r="BN108">
            <v>4064.9599277258012</v>
          </cell>
          <cell r="BO108">
            <v>4708.5619973374996</v>
          </cell>
          <cell r="BP108">
            <v>5080.2963613374995</v>
          </cell>
          <cell r="BQ108">
            <v>667.57428529519814</v>
          </cell>
          <cell r="BR108">
            <v>692.93813381589803</v>
          </cell>
          <cell r="BS108">
            <v>784.63756543395994</v>
          </cell>
          <cell r="BT108">
            <v>894.71640646431115</v>
          </cell>
          <cell r="BU108">
            <v>924.59850428713048</v>
          </cell>
          <cell r="BV108">
            <v>1028.5285981120646</v>
          </cell>
          <cell r="BW108">
            <v>1232.1967174502388</v>
          </cell>
          <cell r="BX108">
            <v>1140.4172891525395</v>
          </cell>
          <cell r="BY108">
            <v>1403.9426095115396</v>
          </cell>
          <cell r="BZ108">
            <v>300.08199999999999</v>
          </cell>
          <cell r="CA108">
            <v>281.39999999999998</v>
          </cell>
          <cell r="CB108">
            <v>341.089</v>
          </cell>
          <cell r="CC108">
            <v>1727.1505191594899</v>
          </cell>
          <cell r="CD108">
            <v>922.57100000000003</v>
          </cell>
          <cell r="CE108">
            <v>804.57951915948991</v>
          </cell>
          <cell r="CF108">
            <v>87.210579907615767</v>
          </cell>
        </row>
        <row r="109">
          <cell r="L109">
            <v>1800.2401520390001</v>
          </cell>
          <cell r="N109">
            <v>1800.2401520390001</v>
          </cell>
          <cell r="Q109">
            <v>132.15</v>
          </cell>
          <cell r="R109">
            <v>374.5</v>
          </cell>
          <cell r="S109">
            <v>159.91300000000001</v>
          </cell>
          <cell r="T109">
            <v>44.726067593000003</v>
          </cell>
          <cell r="U109">
            <v>98.430521941999999</v>
          </cell>
          <cell r="V109">
            <v>91.8</v>
          </cell>
          <cell r="W109">
            <v>330.7</v>
          </cell>
          <cell r="X109">
            <v>107.436361198</v>
          </cell>
          <cell r="Y109">
            <v>60.815374818999999</v>
          </cell>
          <cell r="Z109">
            <v>79.538499999999999</v>
          </cell>
          <cell r="AA109">
            <v>2046.2419775909998</v>
          </cell>
          <cell r="AB109">
            <v>1.6728388372431113</v>
          </cell>
          <cell r="AC109" t="str">
            <v/>
          </cell>
          <cell r="AD109">
            <v>1.6728388372431113</v>
          </cell>
          <cell r="AE109">
            <v>116.718</v>
          </cell>
          <cell r="AF109">
            <v>76.635999999999996</v>
          </cell>
          <cell r="AG109">
            <v>129.99199999999999</v>
          </cell>
          <cell r="AH109">
            <v>266.02800000000002</v>
          </cell>
          <cell r="AI109">
            <v>151.977</v>
          </cell>
          <cell r="AJ109">
            <v>62.365000000000002</v>
          </cell>
          <cell r="AK109">
            <v>92.058999999999997</v>
          </cell>
          <cell r="AL109">
            <v>85.102000000000004</v>
          </cell>
          <cell r="AM109">
            <v>296.23500000000001</v>
          </cell>
          <cell r="AN109">
            <v>50</v>
          </cell>
          <cell r="AO109">
            <v>50</v>
          </cell>
          <cell r="AP109">
            <v>370.13199999999995</v>
          </cell>
          <cell r="AQ109">
            <v>2.7461520390000089</v>
          </cell>
          <cell r="AR109">
            <v>2.1580000000000155</v>
          </cell>
          <cell r="AS109">
            <v>108.47199999999998</v>
          </cell>
          <cell r="AT109">
            <v>7.936000000000007</v>
          </cell>
          <cell r="AU109">
            <v>-17.638932406999999</v>
          </cell>
          <cell r="AV109">
            <v>6.3715219420000011</v>
          </cell>
          <cell r="AW109">
            <v>6.6979999999999933</v>
          </cell>
          <cell r="AX109">
            <v>34.464999999999975</v>
          </cell>
          <cell r="AY109">
            <v>566.23215203899997</v>
          </cell>
          <cell r="AZ109">
            <v>698.38215203899995</v>
          </cell>
          <cell r="BA109">
            <v>1072.8821520389999</v>
          </cell>
          <cell r="BB109">
            <v>1232.795152039</v>
          </cell>
          <cell r="BC109">
            <v>1277.5212196319999</v>
          </cell>
          <cell r="BD109">
            <v>1375.9517415739999</v>
          </cell>
          <cell r="BE109">
            <v>1467.7517415739999</v>
          </cell>
          <cell r="BF109">
            <v>1798.4517415739999</v>
          </cell>
          <cell r="BG109">
            <v>1905.8881027719999</v>
          </cell>
          <cell r="BH109">
            <v>193.35399999999998</v>
          </cell>
          <cell r="BI109">
            <v>323.346</v>
          </cell>
          <cell r="BJ109">
            <v>589.37400000000002</v>
          </cell>
          <cell r="BK109">
            <v>741.351</v>
          </cell>
          <cell r="BL109">
            <v>803.71600000000001</v>
          </cell>
          <cell r="BM109">
            <v>895.77499999999998</v>
          </cell>
          <cell r="BN109">
            <v>980.87699999999995</v>
          </cell>
          <cell r="BO109">
            <v>1277.1120000000001</v>
          </cell>
          <cell r="BP109">
            <v>1327.1120000000001</v>
          </cell>
          <cell r="BQ109">
            <v>372.87815203899999</v>
          </cell>
          <cell r="BR109">
            <v>375.03615203899994</v>
          </cell>
          <cell r="BS109">
            <v>483.50815203899992</v>
          </cell>
          <cell r="BT109">
            <v>491.44415203899996</v>
          </cell>
          <cell r="BU109">
            <v>473.80521963199988</v>
          </cell>
          <cell r="BV109">
            <v>480.17674157399995</v>
          </cell>
          <cell r="BW109">
            <v>486.87474157399993</v>
          </cell>
          <cell r="BX109">
            <v>521.33974157399985</v>
          </cell>
          <cell r="BY109">
            <v>578.77610277199983</v>
          </cell>
          <cell r="BZ109">
            <v>196.523</v>
          </cell>
          <cell r="CA109">
            <v>207.4</v>
          </cell>
          <cell r="CB109">
            <v>202.44</v>
          </cell>
          <cell r="CC109">
            <v>698.38215203899995</v>
          </cell>
          <cell r="CD109">
            <v>606.36300000000006</v>
          </cell>
          <cell r="CE109">
            <v>92.019152038999891</v>
          </cell>
          <cell r="CF109">
            <v>15.175588226689275</v>
          </cell>
        </row>
        <row r="110">
          <cell r="L110">
            <v>1999.9646399999999</v>
          </cell>
          <cell r="N110">
            <v>1999.9646399999999</v>
          </cell>
          <cell r="Q110">
            <v>126.04443754799999</v>
          </cell>
          <cell r="R110">
            <v>445.03289853799998</v>
          </cell>
          <cell r="S110">
            <v>346.61981351199995</v>
          </cell>
          <cell r="T110">
            <v>219.998784503</v>
          </cell>
          <cell r="U110">
            <v>247.522541058</v>
          </cell>
          <cell r="V110">
            <v>279.08910039599999</v>
          </cell>
          <cell r="W110">
            <v>221.12264131399999</v>
          </cell>
          <cell r="X110">
            <v>527.82332316099996</v>
          </cell>
          <cell r="Y110">
            <v>89.998717825</v>
          </cell>
          <cell r="Z110">
            <v>69.294158159999895</v>
          </cell>
          <cell r="AA110">
            <v>2863.2583826419991</v>
          </cell>
          <cell r="AB110">
            <v>1.8584290096605172</v>
          </cell>
          <cell r="AC110" t="str">
            <v/>
          </cell>
          <cell r="AD110">
            <v>1.8584290096605172</v>
          </cell>
          <cell r="AE110">
            <v>100</v>
          </cell>
          <cell r="AF110">
            <v>91.8</v>
          </cell>
          <cell r="AG110">
            <v>151.38036399999999</v>
          </cell>
          <cell r="AH110">
            <v>271.54036400000001</v>
          </cell>
          <cell r="AI110">
            <v>160.82836400000002</v>
          </cell>
          <cell r="AJ110">
            <v>121.27336400000002</v>
          </cell>
          <cell r="AK110">
            <v>162.04036400000001</v>
          </cell>
          <cell r="AL110">
            <v>109.50136400000001</v>
          </cell>
          <cell r="AM110">
            <v>105.72936399999998</v>
          </cell>
          <cell r="AN110">
            <v>113.53436399999998</v>
          </cell>
          <cell r="AO110">
            <v>110.973364</v>
          </cell>
          <cell r="AP110">
            <v>129.59</v>
          </cell>
          <cell r="AQ110">
            <v>-30.678033372999998</v>
          </cell>
          <cell r="AR110">
            <v>-25.335926451999995</v>
          </cell>
          <cell r="AS110">
            <v>173.49253453799997</v>
          </cell>
          <cell r="AT110">
            <v>185.79144951199993</v>
          </cell>
          <cell r="AU110">
            <v>98.725420502999981</v>
          </cell>
          <cell r="AV110">
            <v>85.482177057999991</v>
          </cell>
          <cell r="AW110">
            <v>169.58773639599997</v>
          </cell>
          <cell r="AX110">
            <v>115.39327731400002</v>
          </cell>
          <cell r="AY110">
            <v>290.71196662699998</v>
          </cell>
          <cell r="AZ110">
            <v>416.75640417499994</v>
          </cell>
          <cell r="BA110">
            <v>861.78930271299987</v>
          </cell>
          <cell r="BB110">
            <v>1208.4091162249997</v>
          </cell>
          <cell r="BC110">
            <v>1428.4079007279997</v>
          </cell>
          <cell r="BD110">
            <v>1675.9304417859998</v>
          </cell>
          <cell r="BE110">
            <v>1955.0195421819999</v>
          </cell>
          <cell r="BF110">
            <v>2176.1421834959997</v>
          </cell>
          <cell r="BG110">
            <v>2703.9655066569994</v>
          </cell>
          <cell r="BH110">
            <v>191.8</v>
          </cell>
          <cell r="BI110">
            <v>343.180364</v>
          </cell>
          <cell r="BJ110">
            <v>614.72072800000001</v>
          </cell>
          <cell r="BK110">
            <v>775.54909199999997</v>
          </cell>
          <cell r="BL110">
            <v>896.82245599999999</v>
          </cell>
          <cell r="BM110">
            <v>1058.8628200000001</v>
          </cell>
          <cell r="BN110">
            <v>1168.364184</v>
          </cell>
          <cell r="BO110">
            <v>1274.0935480000001</v>
          </cell>
          <cell r="BP110">
            <v>1387.6279119999999</v>
          </cell>
          <cell r="BQ110">
            <v>98.91196662699997</v>
          </cell>
          <cell r="BR110">
            <v>73.576040174999946</v>
          </cell>
          <cell r="BS110">
            <v>247.06857471299986</v>
          </cell>
          <cell r="BT110">
            <v>432.86002422499973</v>
          </cell>
          <cell r="BU110">
            <v>531.58544472799974</v>
          </cell>
          <cell r="BV110">
            <v>617.06762178599979</v>
          </cell>
          <cell r="BW110">
            <v>786.65535818199987</v>
          </cell>
          <cell r="BX110">
            <v>902.04863549599963</v>
          </cell>
          <cell r="BY110">
            <v>1316.3375946569995</v>
          </cell>
          <cell r="BZ110">
            <v>15</v>
          </cell>
          <cell r="CA110">
            <v>5.4</v>
          </cell>
          <cell r="CB110">
            <v>0.54900000000000004</v>
          </cell>
          <cell r="CC110">
            <v>416.75640417499994</v>
          </cell>
          <cell r="CD110">
            <v>20.948999999999998</v>
          </cell>
          <cell r="CE110">
            <v>395.80740417499993</v>
          </cell>
          <cell r="CF110">
            <v>1889.3856707957418</v>
          </cell>
        </row>
        <row r="111">
          <cell r="L111">
            <v>1777.4413401936974</v>
          </cell>
          <cell r="N111">
            <v>1777.4413401936974</v>
          </cell>
          <cell r="Q111">
            <v>204.51268717249002</v>
          </cell>
          <cell r="R111">
            <v>269.37811329502</v>
          </cell>
          <cell r="S111">
            <v>212.30961410553002</v>
          </cell>
          <cell r="T111">
            <v>128.46420516699999</v>
          </cell>
          <cell r="U111">
            <v>397.41227522100002</v>
          </cell>
          <cell r="V111">
            <v>254.80919068600005</v>
          </cell>
          <cell r="W111">
            <v>0</v>
          </cell>
          <cell r="X111">
            <v>0</v>
          </cell>
          <cell r="Y111">
            <v>0</v>
          </cell>
          <cell r="Z111">
            <v>0</v>
          </cell>
          <cell r="AA111">
            <v>1874.3853614200402</v>
          </cell>
          <cell r="AB111">
            <v>1.6516534760263737</v>
          </cell>
          <cell r="AC111" t="str">
            <v/>
          </cell>
          <cell r="AD111">
            <v>1.6516534760263737</v>
          </cell>
          <cell r="AE111">
            <v>150</v>
          </cell>
          <cell r="AF111">
            <v>61.715109143801804</v>
          </cell>
          <cell r="AG111">
            <v>155.97091219979001</v>
          </cell>
          <cell r="AH111">
            <v>159.64321621495799</v>
          </cell>
          <cell r="AI111">
            <v>195.95822258717899</v>
          </cell>
          <cell r="AJ111">
            <v>79.668595440180496</v>
          </cell>
          <cell r="AK111">
            <v>385.33588039606599</v>
          </cell>
          <cell r="AL111">
            <v>227.426807743826</v>
          </cell>
          <cell r="AM111">
            <v>141.63770561169801</v>
          </cell>
          <cell r="AN111">
            <v>108.2</v>
          </cell>
          <cell r="AO111">
            <v>56.1</v>
          </cell>
          <cell r="AP111">
            <v>117.80000000000001</v>
          </cell>
          <cell r="AQ111">
            <v>77.984166629198171</v>
          </cell>
          <cell r="AR111">
            <v>48.541774972700011</v>
          </cell>
          <cell r="AS111">
            <v>109.73489708006201</v>
          </cell>
          <cell r="AT111">
            <v>16.351391518351022</v>
          </cell>
          <cell r="AU111">
            <v>48.795609726819492</v>
          </cell>
          <cell r="AV111">
            <v>12.076394824934027</v>
          </cell>
          <cell r="AW111">
            <v>27.382382942174047</v>
          </cell>
          <cell r="AX111">
            <v>-141.63770561169801</v>
          </cell>
          <cell r="AY111">
            <v>407.49927577300002</v>
          </cell>
          <cell r="AZ111">
            <v>612.01196294549004</v>
          </cell>
          <cell r="BA111">
            <v>881.3900762405101</v>
          </cell>
          <cell r="BB111">
            <v>1093.6996903460401</v>
          </cell>
          <cell r="BC111">
            <v>1222.1638955130402</v>
          </cell>
          <cell r="BD111">
            <v>1619.5761707340403</v>
          </cell>
          <cell r="BE111">
            <v>1874.3853614200402</v>
          </cell>
          <cell r="BF111">
            <v>1874.3853614200402</v>
          </cell>
          <cell r="BG111">
            <v>1874.3853614200402</v>
          </cell>
          <cell r="BH111">
            <v>211.71510914380181</v>
          </cell>
          <cell r="BI111">
            <v>367.68602134359185</v>
          </cell>
          <cell r="BJ111">
            <v>527.32923755854983</v>
          </cell>
          <cell r="BK111">
            <v>723.2874601457288</v>
          </cell>
          <cell r="BL111">
            <v>802.95605558590933</v>
          </cell>
          <cell r="BM111">
            <v>1188.2919359819753</v>
          </cell>
          <cell r="BN111">
            <v>1415.7187437258012</v>
          </cell>
          <cell r="BO111">
            <v>1557.3564493374993</v>
          </cell>
          <cell r="BP111">
            <v>1665.5564493374993</v>
          </cell>
          <cell r="BQ111">
            <v>195.78416662919821</v>
          </cell>
          <cell r="BR111">
            <v>244.32594160189819</v>
          </cell>
          <cell r="BS111">
            <v>354.06083868196026</v>
          </cell>
          <cell r="BT111">
            <v>370.41223020031134</v>
          </cell>
          <cell r="BU111">
            <v>419.20783992713086</v>
          </cell>
          <cell r="BV111">
            <v>431.284234752065</v>
          </cell>
          <cell r="BW111">
            <v>458.66661769423899</v>
          </cell>
          <cell r="BX111">
            <v>317.02891208254096</v>
          </cell>
          <cell r="BY111">
            <v>208.82891208254091</v>
          </cell>
          <cell r="BZ111">
            <v>88.558999999999997</v>
          </cell>
          <cell r="CA111">
            <v>68.599999999999994</v>
          </cell>
          <cell r="CB111">
            <v>138.1</v>
          </cell>
          <cell r="CC111">
            <v>612.01196294549004</v>
          </cell>
          <cell r="CD111">
            <v>295.25900000000001</v>
          </cell>
          <cell r="CE111">
            <v>316.75296294549003</v>
          </cell>
          <cell r="CF111">
            <v>107.27969780616</v>
          </cell>
        </row>
        <row r="112">
          <cell r="L112">
            <v>400</v>
          </cell>
          <cell r="N112">
            <v>400</v>
          </cell>
          <cell r="Q112">
            <v>0</v>
          </cell>
          <cell r="R112">
            <v>0</v>
          </cell>
          <cell r="S112">
            <v>0</v>
          </cell>
          <cell r="T112">
            <v>0</v>
          </cell>
          <cell r="U112">
            <v>0</v>
          </cell>
          <cell r="V112">
            <v>0</v>
          </cell>
          <cell r="W112">
            <v>0</v>
          </cell>
          <cell r="X112">
            <v>0</v>
          </cell>
          <cell r="Y112">
            <v>0</v>
          </cell>
          <cell r="Z112">
            <v>0</v>
          </cell>
          <cell r="AA112">
            <v>0</v>
          </cell>
          <cell r="AB112">
            <v>0.37169237345326611</v>
          </cell>
          <cell r="AC112" t="str">
            <v/>
          </cell>
          <cell r="AD112">
            <v>0.37169237345326611</v>
          </cell>
          <cell r="AE112">
            <v>0</v>
          </cell>
          <cell r="AF112">
            <v>0</v>
          </cell>
          <cell r="AG112">
            <v>0</v>
          </cell>
          <cell r="AH112">
            <v>300</v>
          </cell>
          <cell r="AI112">
            <v>100</v>
          </cell>
          <cell r="AJ112">
            <v>100</v>
          </cell>
          <cell r="AK112">
            <v>0</v>
          </cell>
          <cell r="AL112">
            <v>0</v>
          </cell>
          <cell r="AM112">
            <v>100</v>
          </cell>
          <cell r="AN112">
            <v>100</v>
          </cell>
          <cell r="AO112">
            <v>100</v>
          </cell>
          <cell r="AP112">
            <v>0</v>
          </cell>
          <cell r="AQ112">
            <v>0</v>
          </cell>
          <cell r="AR112">
            <v>0</v>
          </cell>
          <cell r="AS112">
            <v>-300</v>
          </cell>
          <cell r="AT112">
            <v>-100</v>
          </cell>
          <cell r="AU112">
            <v>-100</v>
          </cell>
          <cell r="AV112">
            <v>0</v>
          </cell>
          <cell r="AW112">
            <v>0</v>
          </cell>
          <cell r="AX112">
            <v>-100</v>
          </cell>
          <cell r="AY112">
            <v>0</v>
          </cell>
          <cell r="AZ112">
            <v>0</v>
          </cell>
          <cell r="BA112">
            <v>0</v>
          </cell>
          <cell r="BB112">
            <v>0</v>
          </cell>
          <cell r="BC112">
            <v>0</v>
          </cell>
          <cell r="BD112">
            <v>0</v>
          </cell>
          <cell r="BE112">
            <v>0</v>
          </cell>
          <cell r="BF112">
            <v>0</v>
          </cell>
          <cell r="BG112">
            <v>0</v>
          </cell>
          <cell r="BH112">
            <v>0</v>
          </cell>
          <cell r="BI112">
            <v>0</v>
          </cell>
          <cell r="BJ112">
            <v>300</v>
          </cell>
          <cell r="BK112">
            <v>400</v>
          </cell>
          <cell r="BL112">
            <v>500</v>
          </cell>
          <cell r="BM112">
            <v>500</v>
          </cell>
          <cell r="BN112">
            <v>500</v>
          </cell>
          <cell r="BO112">
            <v>600</v>
          </cell>
          <cell r="BP112">
            <v>700</v>
          </cell>
          <cell r="BQ112">
            <v>0</v>
          </cell>
          <cell r="BR112">
            <v>0</v>
          </cell>
          <cell r="BS112">
            <v>-300</v>
          </cell>
          <cell r="BT112">
            <v>-400</v>
          </cell>
          <cell r="BU112">
            <v>-500</v>
          </cell>
          <cell r="BV112">
            <v>-500</v>
          </cell>
          <cell r="BW112">
            <v>-500</v>
          </cell>
          <cell r="BX112">
            <v>-600</v>
          </cell>
          <cell r="BY112">
            <v>-700</v>
          </cell>
          <cell r="CC112">
            <v>0</v>
          </cell>
          <cell r="CD112">
            <v>0</v>
          </cell>
          <cell r="CE112">
            <v>0</v>
          </cell>
          <cell r="CF112" t="str">
            <v xml:space="preserve">n.a. </v>
          </cell>
        </row>
        <row r="113">
          <cell r="L113" t="e">
            <v>#REF!</v>
          </cell>
          <cell r="M113" t="e">
            <v>#REF!</v>
          </cell>
          <cell r="N113" t="e">
            <v>#REF!</v>
          </cell>
          <cell r="Q113">
            <v>0</v>
          </cell>
          <cell r="R113">
            <v>0</v>
          </cell>
          <cell r="S113">
            <v>208.57856327699997</v>
          </cell>
          <cell r="T113">
            <v>2.3195410023199998</v>
          </cell>
          <cell r="U113">
            <v>85.030420000000007</v>
          </cell>
          <cell r="V113">
            <v>66.963988000000001</v>
          </cell>
          <cell r="W113">
            <v>7.5399120000000002</v>
          </cell>
          <cell r="X113">
            <v>6.4597169999999995</v>
          </cell>
          <cell r="Y113">
            <v>4.9280130000000009</v>
          </cell>
          <cell r="Z113">
            <v>0.74346800000000002</v>
          </cell>
          <cell r="AA113">
            <v>412.56362227931999</v>
          </cell>
          <cell r="AB113" t="e">
            <v>#REF!</v>
          </cell>
          <cell r="AC113" t="e">
            <v>#REF!</v>
          </cell>
          <cell r="AD113" t="e">
            <v>#REF!</v>
          </cell>
          <cell r="AE113">
            <v>30</v>
          </cell>
          <cell r="AF113">
            <v>0</v>
          </cell>
          <cell r="AG113">
            <v>0</v>
          </cell>
          <cell r="AH113">
            <v>0</v>
          </cell>
          <cell r="AI113">
            <v>62.009239128671091</v>
          </cell>
          <cell r="AJ113">
            <v>148.61161945865189</v>
          </cell>
          <cell r="AK113">
            <v>74.654425599736498</v>
          </cell>
          <cell r="AL113">
            <v>98.310016011817709</v>
          </cell>
          <cell r="AM113">
            <v>4.1504132679958099</v>
          </cell>
          <cell r="AN113">
            <v>33.277195453654002</v>
          </cell>
          <cell r="AO113">
            <v>4.9870910794730197</v>
          </cell>
          <cell r="AP113">
            <v>0</v>
          </cell>
          <cell r="AQ113">
            <v>0</v>
          </cell>
          <cell r="AR113">
            <v>0</v>
          </cell>
          <cell r="AS113">
            <v>0</v>
          </cell>
          <cell r="AT113">
            <v>146.56932414832889</v>
          </cell>
          <cell r="AU113">
            <v>-146.29207845633189</v>
          </cell>
          <cell r="AV113">
            <v>10.375994400263508</v>
          </cell>
          <cell r="AW113">
            <v>-31.346028011817708</v>
          </cell>
          <cell r="AX113">
            <v>3.3894987320041903</v>
          </cell>
          <cell r="AY113">
            <v>30</v>
          </cell>
          <cell r="AZ113">
            <v>30</v>
          </cell>
          <cell r="BA113">
            <v>30</v>
          </cell>
          <cell r="BB113">
            <v>238.57856327699997</v>
          </cell>
          <cell r="BC113">
            <v>240.89810427931997</v>
          </cell>
          <cell r="BD113">
            <v>325.92852427931996</v>
          </cell>
          <cell r="BE113">
            <v>392.89251227931993</v>
          </cell>
          <cell r="BF113">
            <v>400.43242427931995</v>
          </cell>
          <cell r="BG113">
            <v>406.89214127931996</v>
          </cell>
          <cell r="BH113">
            <v>30</v>
          </cell>
          <cell r="BI113">
            <v>30</v>
          </cell>
          <cell r="BJ113">
            <v>30</v>
          </cell>
          <cell r="BK113">
            <v>92.009239128671084</v>
          </cell>
          <cell r="BL113">
            <v>240.62085858732297</v>
          </cell>
          <cell r="BM113">
            <v>315.27528418705947</v>
          </cell>
          <cell r="BN113">
            <v>413.58530019887718</v>
          </cell>
          <cell r="BO113">
            <v>417.73571346687299</v>
          </cell>
          <cell r="BP113">
            <v>451.01290892052702</v>
          </cell>
          <cell r="BQ113">
            <v>0</v>
          </cell>
          <cell r="BR113">
            <v>0</v>
          </cell>
          <cell r="BS113">
            <v>0</v>
          </cell>
          <cell r="BT113">
            <v>146.56932414832889</v>
          </cell>
          <cell r="BU113">
            <v>0.27724569199699545</v>
          </cell>
          <cell r="BV113">
            <v>10.653240092260489</v>
          </cell>
          <cell r="BW113">
            <v>-20.692787919557247</v>
          </cell>
          <cell r="BX113">
            <v>-17.303289187553048</v>
          </cell>
          <cell r="BY113">
            <v>-44.120767641207067</v>
          </cell>
          <cell r="BZ113">
            <v>0</v>
          </cell>
          <cell r="CA113">
            <v>0</v>
          </cell>
          <cell r="CB113">
            <v>53.442999999999998</v>
          </cell>
          <cell r="CC113">
            <v>30</v>
          </cell>
          <cell r="CD113">
            <v>53.442999999999998</v>
          </cell>
          <cell r="CE113">
            <v>-23.442999999999998</v>
          </cell>
          <cell r="CF113">
            <v>-43.865426716314573</v>
          </cell>
        </row>
        <row r="114">
          <cell r="H114" t="str">
            <v>Bonos de Seguridad</v>
          </cell>
          <cell r="L114">
            <v>426.00000000000006</v>
          </cell>
          <cell r="N114">
            <v>426.00000000000006</v>
          </cell>
          <cell r="O114">
            <v>0</v>
          </cell>
          <cell r="P114">
            <v>0</v>
          </cell>
          <cell r="Q114">
            <v>0</v>
          </cell>
          <cell r="R114">
            <v>0</v>
          </cell>
          <cell r="S114">
            <v>208.57856327699997</v>
          </cell>
          <cell r="T114">
            <v>2.3195410023199998</v>
          </cell>
          <cell r="U114">
            <v>85.030420000000007</v>
          </cell>
          <cell r="V114">
            <v>66.963988000000001</v>
          </cell>
          <cell r="W114">
            <v>7.5399120000000002</v>
          </cell>
          <cell r="X114">
            <v>6.4597169999999995</v>
          </cell>
          <cell r="Y114">
            <v>4.9280130000000009</v>
          </cell>
          <cell r="Z114">
            <v>0.74346800000000002</v>
          </cell>
          <cell r="AA114">
            <v>382.56362227931999</v>
          </cell>
          <cell r="AB114">
            <v>0.39585237772772847</v>
          </cell>
          <cell r="AC114" t="str">
            <v/>
          </cell>
          <cell r="AD114">
            <v>0.39585237772772847</v>
          </cell>
          <cell r="AE114">
            <v>0</v>
          </cell>
          <cell r="AF114">
            <v>0</v>
          </cell>
          <cell r="AG114">
            <v>0</v>
          </cell>
          <cell r="AH114">
            <v>0</v>
          </cell>
          <cell r="AI114">
            <v>62.009239128671091</v>
          </cell>
          <cell r="AJ114">
            <v>148.61161945865189</v>
          </cell>
          <cell r="AK114">
            <v>74.654425599736498</v>
          </cell>
          <cell r="AL114">
            <v>98.310016011817709</v>
          </cell>
          <cell r="AM114">
            <v>4.1504132679958099</v>
          </cell>
          <cell r="AN114">
            <v>33.277195453654002</v>
          </cell>
          <cell r="AO114">
            <v>4.9870910794730197</v>
          </cell>
          <cell r="AP114">
            <v>0</v>
          </cell>
          <cell r="AQ114">
            <v>0</v>
          </cell>
          <cell r="AR114">
            <v>0</v>
          </cell>
          <cell r="AS114">
            <v>0</v>
          </cell>
          <cell r="AT114">
            <v>146.56932414832889</v>
          </cell>
          <cell r="AU114">
            <v>-146.29207845633189</v>
          </cell>
          <cell r="AV114">
            <v>10.375994400263508</v>
          </cell>
          <cell r="AW114">
            <v>-31.346028011817708</v>
          </cell>
          <cell r="AX114">
            <v>3.3894987320041903</v>
          </cell>
          <cell r="AY114">
            <v>0</v>
          </cell>
          <cell r="AZ114">
            <v>0</v>
          </cell>
          <cell r="BA114">
            <v>0</v>
          </cell>
          <cell r="BB114">
            <v>208.57856327699997</v>
          </cell>
          <cell r="BC114">
            <v>210.89810427931997</v>
          </cell>
          <cell r="BD114">
            <v>295.92852427931996</v>
          </cell>
          <cell r="BE114">
            <v>362.89251227931993</v>
          </cell>
          <cell r="BF114">
            <v>370.43242427931995</v>
          </cell>
          <cell r="BG114">
            <v>376.89214127931996</v>
          </cell>
          <cell r="BH114">
            <v>0</v>
          </cell>
          <cell r="BI114">
            <v>0</v>
          </cell>
          <cell r="BJ114">
            <v>0</v>
          </cell>
          <cell r="BK114">
            <v>62.009239128671091</v>
          </cell>
          <cell r="BL114">
            <v>210.62085858732297</v>
          </cell>
          <cell r="BM114">
            <v>285.27528418705947</v>
          </cell>
          <cell r="BN114">
            <v>383.58530019887718</v>
          </cell>
          <cell r="BO114">
            <v>387.73571346687299</v>
          </cell>
          <cell r="BP114">
            <v>421.01290892052702</v>
          </cell>
          <cell r="BQ114">
            <v>0</v>
          </cell>
          <cell r="BR114">
            <v>0</v>
          </cell>
          <cell r="BS114">
            <v>0</v>
          </cell>
          <cell r="BT114">
            <v>146.56932414832889</v>
          </cell>
          <cell r="BU114">
            <v>0.27724569199699545</v>
          </cell>
          <cell r="BV114">
            <v>10.653240092260489</v>
          </cell>
          <cell r="BW114">
            <v>-20.692787919557247</v>
          </cell>
          <cell r="BX114">
            <v>-17.303289187553048</v>
          </cell>
          <cell r="BY114">
            <v>-44.120767641207067</v>
          </cell>
          <cell r="BZ114">
            <v>0</v>
          </cell>
          <cell r="CC114">
            <v>0</v>
          </cell>
          <cell r="CD114">
            <v>0</v>
          </cell>
          <cell r="CE114">
            <v>0</v>
          </cell>
          <cell r="CF114" t="str">
            <v xml:space="preserve">n.a. </v>
          </cell>
        </row>
        <row r="115">
          <cell r="H115" t="str">
            <v>Fondo de Pensiones Caja Agraria</v>
          </cell>
          <cell r="M115">
            <v>48</v>
          </cell>
          <cell r="N115">
            <v>48</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v>4.460308481439193E-2</v>
          </cell>
          <cell r="AD115">
            <v>4.460308481439193E-2</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53.442999999999998</v>
          </cell>
          <cell r="CC115">
            <v>0</v>
          </cell>
          <cell r="CD115">
            <v>53.442999999999998</v>
          </cell>
          <cell r="CE115">
            <v>-53.442999999999998</v>
          </cell>
          <cell r="CF115">
            <v>-100</v>
          </cell>
        </row>
        <row r="116">
          <cell r="H116" t="str">
            <v>Fondo de Solidaridad Agropecuario</v>
          </cell>
          <cell r="M116">
            <v>105</v>
          </cell>
          <cell r="N116">
            <v>105</v>
          </cell>
          <cell r="O116">
            <v>30</v>
          </cell>
          <cell r="P116">
            <v>0</v>
          </cell>
          <cell r="Q116">
            <v>0</v>
          </cell>
          <cell r="R116">
            <v>0</v>
          </cell>
          <cell r="S116">
            <v>0</v>
          </cell>
          <cell r="T116">
            <v>0</v>
          </cell>
          <cell r="U116">
            <v>0</v>
          </cell>
          <cell r="V116">
            <v>0</v>
          </cell>
          <cell r="W116">
            <v>0</v>
          </cell>
          <cell r="X116">
            <v>0</v>
          </cell>
          <cell r="Y116">
            <v>0</v>
          </cell>
          <cell r="Z116">
            <v>0</v>
          </cell>
          <cell r="AA116">
            <v>30</v>
          </cell>
          <cell r="AB116" t="str">
            <v/>
          </cell>
          <cell r="AC116">
            <v>9.7569248031482342E-2</v>
          </cell>
          <cell r="AD116">
            <v>9.7569248031482342E-2</v>
          </cell>
          <cell r="AE116">
            <v>30</v>
          </cell>
          <cell r="AP116">
            <v>0</v>
          </cell>
          <cell r="AQ116">
            <v>0</v>
          </cell>
          <cell r="AR116">
            <v>0</v>
          </cell>
          <cell r="AS116">
            <v>0</v>
          </cell>
          <cell r="AT116">
            <v>0</v>
          </cell>
          <cell r="AU116">
            <v>0</v>
          </cell>
          <cell r="AV116">
            <v>0</v>
          </cell>
          <cell r="AW116">
            <v>0</v>
          </cell>
          <cell r="AX116">
            <v>0</v>
          </cell>
          <cell r="AY116">
            <v>30</v>
          </cell>
          <cell r="AZ116">
            <v>30</v>
          </cell>
          <cell r="BA116">
            <v>30</v>
          </cell>
          <cell r="BB116">
            <v>30</v>
          </cell>
          <cell r="BC116">
            <v>30</v>
          </cell>
          <cell r="BD116">
            <v>30</v>
          </cell>
          <cell r="BE116">
            <v>30</v>
          </cell>
          <cell r="BF116">
            <v>30</v>
          </cell>
          <cell r="BG116">
            <v>30</v>
          </cell>
          <cell r="BH116">
            <v>30</v>
          </cell>
          <cell r="BI116">
            <v>30</v>
          </cell>
          <cell r="BJ116">
            <v>30</v>
          </cell>
          <cell r="BK116">
            <v>30</v>
          </cell>
          <cell r="BL116">
            <v>30</v>
          </cell>
          <cell r="BM116">
            <v>30</v>
          </cell>
          <cell r="BN116">
            <v>30</v>
          </cell>
          <cell r="BO116">
            <v>30</v>
          </cell>
          <cell r="BP116">
            <v>30</v>
          </cell>
          <cell r="BQ116">
            <v>0</v>
          </cell>
          <cell r="BR116">
            <v>0</v>
          </cell>
          <cell r="BS116">
            <v>0</v>
          </cell>
          <cell r="BT116">
            <v>0</v>
          </cell>
          <cell r="BU116">
            <v>0</v>
          </cell>
          <cell r="BV116">
            <v>0</v>
          </cell>
          <cell r="BW116">
            <v>0</v>
          </cell>
          <cell r="BX116">
            <v>0</v>
          </cell>
          <cell r="BY116">
            <v>0</v>
          </cell>
          <cell r="CC116">
            <v>30</v>
          </cell>
          <cell r="CD116">
            <v>0</v>
          </cell>
          <cell r="CE116">
            <v>30</v>
          </cell>
          <cell r="CF116" t="str">
            <v xml:space="preserve">n.a. </v>
          </cell>
        </row>
        <row r="117">
          <cell r="L117">
            <v>3390.7645173871006</v>
          </cell>
          <cell r="M117">
            <v>48</v>
          </cell>
          <cell r="N117">
            <v>3438.7645173871006</v>
          </cell>
          <cell r="Q117">
            <v>256.43030970000001</v>
          </cell>
          <cell r="R117">
            <v>449.02652563316997</v>
          </cell>
          <cell r="S117">
            <v>274.88899371474997</v>
          </cell>
          <cell r="T117">
            <v>147.26920567100001</v>
          </cell>
          <cell r="U117">
            <v>524.38046999999995</v>
          </cell>
          <cell r="V117">
            <v>271.66789339477998</v>
          </cell>
          <cell r="W117">
            <v>512.99476235101008</v>
          </cell>
          <cell r="X117">
            <v>57.724899999999998</v>
          </cell>
          <cell r="Y117">
            <v>85.553600000000003</v>
          </cell>
          <cell r="Z117">
            <v>352.20499999999998</v>
          </cell>
          <cell r="AA117">
            <v>3141.0388335647103</v>
          </cell>
          <cell r="AB117">
            <v>3.150803278221824</v>
          </cell>
          <cell r="AC117">
            <v>4.460308481439193E-2</v>
          </cell>
          <cell r="AD117">
            <v>3.1954063630362164</v>
          </cell>
          <cell r="AE117">
            <v>139.30530849418165</v>
          </cell>
          <cell r="AF117">
            <v>63.540300000000002</v>
          </cell>
          <cell r="AG117">
            <v>235.26891249119799</v>
          </cell>
          <cell r="AH117">
            <v>419.65271282646</v>
          </cell>
          <cell r="AI117">
            <v>303.69064399327402</v>
          </cell>
          <cell r="AJ117">
            <v>165.856703213</v>
          </cell>
          <cell r="AK117">
            <v>596.91329012715403</v>
          </cell>
          <cell r="AL117">
            <v>539.53678949699997</v>
          </cell>
          <cell r="AM117">
            <v>581.07928970912894</v>
          </cell>
          <cell r="AN117">
            <v>45.112831234860003</v>
          </cell>
          <cell r="AO117">
            <v>66.128830429649099</v>
          </cell>
          <cell r="AP117">
            <v>14.975498205818354</v>
          </cell>
          <cell r="AQ117">
            <v>-8.9239336000000051</v>
          </cell>
          <cell r="AR117">
            <v>21.161397208802015</v>
          </cell>
          <cell r="AS117">
            <v>29.373812806709964</v>
          </cell>
          <cell r="AT117">
            <v>-28.80165027852405</v>
          </cell>
          <cell r="AU117">
            <v>-18.587497541999994</v>
          </cell>
          <cell r="AV117">
            <v>-72.532820127154082</v>
          </cell>
          <cell r="AW117">
            <v>-267.86889610221999</v>
          </cell>
          <cell r="AX117">
            <v>-68.084527358118862</v>
          </cell>
          <cell r="AY117">
            <v>208.8971731</v>
          </cell>
          <cell r="AZ117">
            <v>465.32748279999998</v>
          </cell>
          <cell r="BA117">
            <v>914.35400843316995</v>
          </cell>
          <cell r="BB117">
            <v>1189.2430021479199</v>
          </cell>
          <cell r="BC117">
            <v>1336.5122078189199</v>
          </cell>
          <cell r="BD117">
            <v>1860.8926778189198</v>
          </cell>
          <cell r="BE117">
            <v>2132.5605712136999</v>
          </cell>
          <cell r="BF117">
            <v>2645.5553335647101</v>
          </cell>
          <cell r="BG117">
            <v>2703.2802335647102</v>
          </cell>
          <cell r="BH117">
            <v>202.84560849418165</v>
          </cell>
          <cell r="BI117">
            <v>438.11452098537961</v>
          </cell>
          <cell r="BJ117">
            <v>857.76723381183956</v>
          </cell>
          <cell r="BK117">
            <v>1161.4578778051136</v>
          </cell>
          <cell r="BL117">
            <v>1327.3145810181136</v>
          </cell>
          <cell r="BM117">
            <v>2074.2278711452677</v>
          </cell>
          <cell r="BN117">
            <v>2463.7646606422677</v>
          </cell>
          <cell r="BO117">
            <v>3044.8439503513964</v>
          </cell>
          <cell r="BP117">
            <v>3089.9567815862565</v>
          </cell>
          <cell r="BQ117">
            <v>6.0515646058183563</v>
          </cell>
          <cell r="BR117">
            <v>27.212961814620371</v>
          </cell>
          <cell r="BS117">
            <v>56.586774621330392</v>
          </cell>
          <cell r="BT117">
            <v>27.785124342806284</v>
          </cell>
          <cell r="BU117">
            <v>9.1976268008063471</v>
          </cell>
          <cell r="BV117">
            <v>-213.33519332634796</v>
          </cell>
          <cell r="BW117">
            <v>-331.20408942856784</v>
          </cell>
          <cell r="BX117">
            <v>-399.28861678668636</v>
          </cell>
          <cell r="BY117">
            <v>-386.6765480215463</v>
          </cell>
          <cell r="BZ117">
            <v>56.326999999999998</v>
          </cell>
          <cell r="CA117">
            <v>385.8186</v>
          </cell>
          <cell r="CB117">
            <v>208.29500000000002</v>
          </cell>
          <cell r="CC117">
            <v>465.32748279999998</v>
          </cell>
          <cell r="CD117">
            <v>650.44060000000002</v>
          </cell>
          <cell r="CE117">
            <v>-185.11311720000003</v>
          </cell>
          <cell r="CF117">
            <v>-28.459649843506085</v>
          </cell>
        </row>
        <row r="118">
          <cell r="G118" t="str">
            <v>TESORERIA TES B</v>
          </cell>
          <cell r="L118">
            <v>3111.1993576444547</v>
          </cell>
          <cell r="N118">
            <v>3111.1993576444547</v>
          </cell>
          <cell r="O118">
            <v>154.2808067</v>
          </cell>
          <cell r="P118">
            <v>54.616366399999997</v>
          </cell>
          <cell r="Q118">
            <v>256.43030970000001</v>
          </cell>
          <cell r="R118">
            <v>449.02652563316997</v>
          </cell>
          <cell r="S118">
            <v>274.88899371474997</v>
          </cell>
          <cell r="T118">
            <v>147.26920567100001</v>
          </cell>
          <cell r="U118">
            <v>524.38046999999995</v>
          </cell>
          <cell r="V118">
            <v>271.66789339477998</v>
          </cell>
          <cell r="W118">
            <v>512.99476235101008</v>
          </cell>
          <cell r="X118">
            <v>57.724899999999998</v>
          </cell>
          <cell r="Y118">
            <v>85.553600000000003</v>
          </cell>
          <cell r="Z118">
            <v>352.20499999999998</v>
          </cell>
          <cell r="AA118">
            <v>3141.0388335647103</v>
          </cell>
          <cell r="AB118">
            <v>2.8910226838228605</v>
          </cell>
          <cell r="AC118" t="str">
            <v/>
          </cell>
          <cell r="AD118">
            <v>2.8910226838228605</v>
          </cell>
          <cell r="AE118">
            <v>139.30530849418165</v>
          </cell>
          <cell r="AF118">
            <v>63.540300000000002</v>
          </cell>
          <cell r="AG118">
            <v>235.26891249119799</v>
          </cell>
          <cell r="AH118">
            <v>419.65271282646</v>
          </cell>
          <cell r="AI118">
            <v>303.69064399327402</v>
          </cell>
          <cell r="AJ118">
            <v>165.856703213</v>
          </cell>
          <cell r="AK118">
            <v>446.91329012715403</v>
          </cell>
          <cell r="AL118">
            <v>439.53678949699997</v>
          </cell>
          <cell r="AM118">
            <v>581.07928970912894</v>
          </cell>
          <cell r="AN118">
            <v>45.112831234860003</v>
          </cell>
          <cell r="AO118">
            <v>66.128830429649099</v>
          </cell>
          <cell r="AP118">
            <v>14.975498205818354</v>
          </cell>
          <cell r="AQ118">
            <v>-8.9239336000000051</v>
          </cell>
          <cell r="AR118">
            <v>21.161397208802015</v>
          </cell>
          <cell r="AS118">
            <v>29.373812806709964</v>
          </cell>
          <cell r="AT118">
            <v>-28.80165027852405</v>
          </cell>
          <cell r="AU118">
            <v>-18.587497541999994</v>
          </cell>
          <cell r="AV118">
            <v>77.467179872845918</v>
          </cell>
          <cell r="AW118">
            <v>-167.86889610221999</v>
          </cell>
          <cell r="AX118">
            <v>-68.084527358118862</v>
          </cell>
          <cell r="AY118">
            <v>208.8971731</v>
          </cell>
          <cell r="AZ118">
            <v>465.32748279999998</v>
          </cell>
          <cell r="BA118">
            <v>914.35400843316995</v>
          </cell>
          <cell r="BB118">
            <v>1189.2430021479199</v>
          </cell>
          <cell r="BC118">
            <v>1336.5122078189199</v>
          </cell>
          <cell r="BD118">
            <v>1860.8926778189198</v>
          </cell>
          <cell r="BE118">
            <v>2132.5605712136999</v>
          </cell>
          <cell r="BF118">
            <v>2645.5553335647101</v>
          </cell>
          <cell r="BG118">
            <v>2703.2802335647102</v>
          </cell>
          <cell r="BH118">
            <v>202.84560849418165</v>
          </cell>
          <cell r="BI118">
            <v>438.11452098537961</v>
          </cell>
          <cell r="BJ118">
            <v>857.76723381183956</v>
          </cell>
          <cell r="BK118">
            <v>1161.4578778051136</v>
          </cell>
          <cell r="BL118">
            <v>1327.3145810181136</v>
          </cell>
          <cell r="BM118">
            <v>1774.2278711452677</v>
          </cell>
          <cell r="BN118">
            <v>2213.7646606422677</v>
          </cell>
          <cell r="BO118">
            <v>2794.8439503513964</v>
          </cell>
          <cell r="BP118">
            <v>2839.9567815862565</v>
          </cell>
          <cell r="BQ118">
            <v>6.0515646058183563</v>
          </cell>
          <cell r="BR118">
            <v>27.212961814620371</v>
          </cell>
          <cell r="BS118">
            <v>56.586774621330392</v>
          </cell>
          <cell r="BT118">
            <v>27.785124342806284</v>
          </cell>
          <cell r="BU118">
            <v>9.1976268008063471</v>
          </cell>
          <cell r="BV118">
            <v>86.664806673652038</v>
          </cell>
          <cell r="BW118">
            <v>-81.204089428567841</v>
          </cell>
          <cell r="BX118">
            <v>-149.28861678668636</v>
          </cell>
          <cell r="BY118">
            <v>-136.6765480215463</v>
          </cell>
          <cell r="BZ118">
            <v>56.326999999999998</v>
          </cell>
          <cell r="CA118">
            <v>385.8186</v>
          </cell>
          <cell r="CB118">
            <v>154.846</v>
          </cell>
          <cell r="CC118">
            <v>465.32748279999998</v>
          </cell>
          <cell r="CD118">
            <v>596.99160000000006</v>
          </cell>
          <cell r="CE118">
            <v>-131.66411720000008</v>
          </cell>
          <cell r="CF118">
            <v>-22.054601304272971</v>
          </cell>
        </row>
        <row r="119">
          <cell r="G119" t="str">
            <v>OTROS</v>
          </cell>
          <cell r="L119">
            <v>0</v>
          </cell>
          <cell r="M119">
            <v>48</v>
          </cell>
          <cell r="N119">
            <v>48</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v>4.460308481439193E-2</v>
          </cell>
          <cell r="AD119">
            <v>4.460308481439193E-2</v>
          </cell>
          <cell r="AE119">
            <v>0</v>
          </cell>
          <cell r="AF119">
            <v>0</v>
          </cell>
          <cell r="AG119">
            <v>0</v>
          </cell>
          <cell r="AH119">
            <v>0</v>
          </cell>
          <cell r="AI119">
            <v>0</v>
          </cell>
          <cell r="AJ119">
            <v>0</v>
          </cell>
          <cell r="AK119">
            <v>150</v>
          </cell>
          <cell r="AL119">
            <v>100</v>
          </cell>
          <cell r="AM119">
            <v>0</v>
          </cell>
          <cell r="AN119">
            <v>0</v>
          </cell>
          <cell r="AO119">
            <v>0</v>
          </cell>
          <cell r="AP119">
            <v>0</v>
          </cell>
          <cell r="AQ119">
            <v>0</v>
          </cell>
          <cell r="AR119">
            <v>0</v>
          </cell>
          <cell r="AS119">
            <v>0</v>
          </cell>
          <cell r="AT119">
            <v>0</v>
          </cell>
          <cell r="AU119">
            <v>0</v>
          </cell>
          <cell r="AV119">
            <v>-150</v>
          </cell>
          <cell r="AW119">
            <v>-100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300</v>
          </cell>
          <cell r="BN119">
            <v>250</v>
          </cell>
          <cell r="BO119">
            <v>250</v>
          </cell>
          <cell r="BP119">
            <v>250</v>
          </cell>
          <cell r="BQ119">
            <v>0</v>
          </cell>
          <cell r="BR119">
            <v>0</v>
          </cell>
          <cell r="BS119">
            <v>0</v>
          </cell>
          <cell r="BT119">
            <v>0</v>
          </cell>
          <cell r="BU119">
            <v>0</v>
          </cell>
          <cell r="BV119">
            <v>-300</v>
          </cell>
          <cell r="BW119">
            <v>-250</v>
          </cell>
          <cell r="BX119">
            <v>-250</v>
          </cell>
          <cell r="BY119">
            <v>-250</v>
          </cell>
          <cell r="BZ119">
            <v>0</v>
          </cell>
          <cell r="CA119">
            <v>0</v>
          </cell>
          <cell r="CB119">
            <v>53.448999999999998</v>
          </cell>
          <cell r="CC119">
            <v>0</v>
          </cell>
          <cell r="CD119">
            <v>53.448999999999998</v>
          </cell>
          <cell r="CE119">
            <v>-53.448999999999998</v>
          </cell>
          <cell r="CF119">
            <v>-100</v>
          </cell>
        </row>
        <row r="120">
          <cell r="H120" t="str">
            <v>Caja Agraria pagares</v>
          </cell>
          <cell r="M120">
            <v>48</v>
          </cell>
          <cell r="N120">
            <v>48</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v>4.460308481439193E-2</v>
          </cell>
          <cell r="AD120">
            <v>4.460308481439193E-2</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53.448999999999998</v>
          </cell>
          <cell r="CC120">
            <v>0</v>
          </cell>
          <cell r="CD120">
            <v>53.448999999999998</v>
          </cell>
          <cell r="CE120">
            <v>-53.448999999999998</v>
          </cell>
          <cell r="CF120">
            <v>-100</v>
          </cell>
        </row>
        <row r="121">
          <cell r="H121" t="str">
            <v>Otra Deuda Interna</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cell r="AD121" t="str">
            <v/>
          </cell>
          <cell r="AK121">
            <v>150</v>
          </cell>
          <cell r="AL121">
            <v>100</v>
          </cell>
          <cell r="AM121">
            <v>0</v>
          </cell>
          <cell r="AN121">
            <v>0</v>
          </cell>
          <cell r="AO121">
            <v>0</v>
          </cell>
          <cell r="AP121">
            <v>0</v>
          </cell>
          <cell r="AQ121">
            <v>0</v>
          </cell>
          <cell r="AR121">
            <v>0</v>
          </cell>
          <cell r="AS121">
            <v>0</v>
          </cell>
          <cell r="AT121">
            <v>0</v>
          </cell>
          <cell r="AU121">
            <v>0</v>
          </cell>
          <cell r="AV121">
            <v>-150</v>
          </cell>
          <cell r="AW121">
            <v>-100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150</v>
          </cell>
          <cell r="BN121">
            <v>250</v>
          </cell>
          <cell r="BO121">
            <v>250</v>
          </cell>
          <cell r="BP121">
            <v>250</v>
          </cell>
          <cell r="BQ121">
            <v>0</v>
          </cell>
          <cell r="BR121">
            <v>0</v>
          </cell>
          <cell r="BS121">
            <v>0</v>
          </cell>
          <cell r="BT121">
            <v>0</v>
          </cell>
          <cell r="BU121">
            <v>0</v>
          </cell>
          <cell r="BV121">
            <v>-150</v>
          </cell>
          <cell r="BW121">
            <v>-250</v>
          </cell>
          <cell r="BX121">
            <v>-250</v>
          </cell>
          <cell r="BY121">
            <v>-250</v>
          </cell>
          <cell r="CC121">
            <v>0</v>
          </cell>
          <cell r="CD121">
            <v>0</v>
          </cell>
          <cell r="CE121">
            <v>0</v>
          </cell>
          <cell r="CF121" t="str">
            <v xml:space="preserve">n.a. </v>
          </cell>
        </row>
        <row r="122">
          <cell r="G122" t="str">
            <v>Mas Bonos Ley 55/85 y otros</v>
          </cell>
          <cell r="L122">
            <v>279.56515974264568</v>
          </cell>
          <cell r="N122">
            <v>279.56515974264568</v>
          </cell>
          <cell r="AA122">
            <v>0</v>
          </cell>
          <cell r="AB122">
            <v>0.25978059439896362</v>
          </cell>
          <cell r="AC122" t="str">
            <v/>
          </cell>
          <cell r="AD122">
            <v>0.25978059439896362</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CC122">
            <v>0</v>
          </cell>
          <cell r="CD122">
            <v>0</v>
          </cell>
          <cell r="CE122">
            <v>0</v>
          </cell>
          <cell r="CF122" t="str">
            <v xml:space="preserve">n.a. </v>
          </cell>
        </row>
        <row r="123">
          <cell r="L123">
            <v>476.65260000000001</v>
          </cell>
          <cell r="M123">
            <v>0</v>
          </cell>
          <cell r="N123">
            <v>476.65260000000001</v>
          </cell>
          <cell r="Q123">
            <v>1.5</v>
          </cell>
          <cell r="R123">
            <v>1.7</v>
          </cell>
          <cell r="S123">
            <v>0</v>
          </cell>
          <cell r="T123">
            <v>531.70000000000005</v>
          </cell>
          <cell r="U123">
            <v>6.7278700999999996E-2</v>
          </cell>
          <cell r="V123">
            <v>0</v>
          </cell>
          <cell r="W123">
            <v>0</v>
          </cell>
          <cell r="X123">
            <v>0</v>
          </cell>
          <cell r="Y123">
            <v>0</v>
          </cell>
          <cell r="Z123">
            <v>0</v>
          </cell>
          <cell r="AA123">
            <v>699.42638120100003</v>
          </cell>
          <cell r="AB123">
            <v>0.44292034051667567</v>
          </cell>
          <cell r="AC123" t="str">
            <v/>
          </cell>
          <cell r="AD123">
            <v>0.44292034051667567</v>
          </cell>
          <cell r="AE123">
            <v>0</v>
          </cell>
          <cell r="AF123">
            <v>161.71041390315327</v>
          </cell>
          <cell r="AG123">
            <v>0</v>
          </cell>
          <cell r="AH123">
            <v>0</v>
          </cell>
          <cell r="AI123">
            <v>0</v>
          </cell>
          <cell r="AJ123">
            <v>0</v>
          </cell>
          <cell r="AK123">
            <v>535</v>
          </cell>
          <cell r="AL123">
            <v>0</v>
          </cell>
          <cell r="AM123">
            <v>0</v>
          </cell>
          <cell r="AN123">
            <v>0</v>
          </cell>
          <cell r="AO123">
            <v>0</v>
          </cell>
          <cell r="AP123">
            <v>0</v>
          </cell>
          <cell r="AQ123">
            <v>2.7486885968467334</v>
          </cell>
          <cell r="AR123">
            <v>1.5</v>
          </cell>
          <cell r="AS123">
            <v>1.7</v>
          </cell>
          <cell r="AT123">
            <v>0</v>
          </cell>
          <cell r="AU123">
            <v>531.70000000000005</v>
          </cell>
          <cell r="AV123">
            <v>-534.93272129900004</v>
          </cell>
          <cell r="AW123">
            <v>0</v>
          </cell>
          <cell r="AX123">
            <v>0</v>
          </cell>
          <cell r="AY123">
            <v>164.4591025</v>
          </cell>
          <cell r="AZ123">
            <v>165.9591025</v>
          </cell>
          <cell r="BA123">
            <v>167.65910250000002</v>
          </cell>
          <cell r="BB123">
            <v>167.65910250000002</v>
          </cell>
          <cell r="BC123">
            <v>699.35910250000006</v>
          </cell>
          <cell r="BD123">
            <v>699.42638120099991</v>
          </cell>
          <cell r="BE123">
            <v>699.42638120099991</v>
          </cell>
          <cell r="BF123">
            <v>699.42638120099991</v>
          </cell>
          <cell r="BG123">
            <v>699.42638120099991</v>
          </cell>
          <cell r="BH123">
            <v>161.71041390315327</v>
          </cell>
          <cell r="BI123">
            <v>161.71041390315327</v>
          </cell>
          <cell r="BJ123">
            <v>161.71041390315327</v>
          </cell>
          <cell r="BK123">
            <v>161.71041390315327</v>
          </cell>
          <cell r="BL123">
            <v>161.71041390315327</v>
          </cell>
          <cell r="BM123">
            <v>696.71041390315327</v>
          </cell>
          <cell r="BN123">
            <v>696.71041390315327</v>
          </cell>
          <cell r="BO123">
            <v>696.71041390315327</v>
          </cell>
          <cell r="BP123">
            <v>696.71041390315327</v>
          </cell>
          <cell r="BQ123">
            <v>2.7486885968467392</v>
          </cell>
          <cell r="BR123">
            <v>4.2486885968467387</v>
          </cell>
          <cell r="BS123">
            <v>5.9486885968467389</v>
          </cell>
          <cell r="BT123">
            <v>5.9486885968467389</v>
          </cell>
          <cell r="BU123">
            <v>537.6486885968468</v>
          </cell>
          <cell r="BV123">
            <v>2.7159672978467029</v>
          </cell>
          <cell r="BW123">
            <v>2.715967297846646</v>
          </cell>
          <cell r="BX123">
            <v>2.715967297846646</v>
          </cell>
          <cell r="BY123">
            <v>2.715967297846646</v>
          </cell>
          <cell r="BZ123">
            <v>0</v>
          </cell>
          <cell r="CA123">
            <v>0</v>
          </cell>
          <cell r="CB123">
            <v>0</v>
          </cell>
          <cell r="CC123">
            <v>165.9591025</v>
          </cell>
          <cell r="CD123">
            <v>0</v>
          </cell>
          <cell r="CE123">
            <v>165.9591025</v>
          </cell>
          <cell r="CF123" t="str">
            <v xml:space="preserve">n.a. </v>
          </cell>
        </row>
        <row r="124">
          <cell r="F124" t="str">
            <v>Cerromatoso</v>
          </cell>
          <cell r="L124">
            <v>164.3526</v>
          </cell>
          <cell r="N124">
            <v>164.3526</v>
          </cell>
          <cell r="O124">
            <v>0</v>
          </cell>
          <cell r="P124">
            <v>164.35910250000001</v>
          </cell>
          <cell r="Q124">
            <v>0</v>
          </cell>
          <cell r="R124">
            <v>0</v>
          </cell>
          <cell r="S124">
            <v>0</v>
          </cell>
          <cell r="T124">
            <v>0</v>
          </cell>
          <cell r="U124">
            <v>0</v>
          </cell>
          <cell r="V124">
            <v>0</v>
          </cell>
          <cell r="W124">
            <v>0</v>
          </cell>
          <cell r="X124">
            <v>0</v>
          </cell>
          <cell r="Y124">
            <v>0</v>
          </cell>
          <cell r="Z124">
            <v>0</v>
          </cell>
          <cell r="AA124">
            <v>164.35910250000001</v>
          </cell>
          <cell r="AB124">
            <v>0.15272151994303815</v>
          </cell>
          <cell r="AC124" t="str">
            <v/>
          </cell>
          <cell r="AD124">
            <v>0.15272151994303815</v>
          </cell>
          <cell r="AE124">
            <v>0</v>
          </cell>
          <cell r="AF124">
            <v>161.71041390315327</v>
          </cell>
          <cell r="AG124">
            <v>0</v>
          </cell>
          <cell r="AH124">
            <v>0</v>
          </cell>
          <cell r="AI124">
            <v>0</v>
          </cell>
          <cell r="AJ124">
            <v>0</v>
          </cell>
          <cell r="AK124">
            <v>0</v>
          </cell>
          <cell r="AL124">
            <v>0</v>
          </cell>
          <cell r="AM124">
            <v>0</v>
          </cell>
          <cell r="AN124">
            <v>0</v>
          </cell>
          <cell r="AO124">
            <v>0</v>
          </cell>
          <cell r="AP124">
            <v>0</v>
          </cell>
          <cell r="AQ124">
            <v>2.6486885968467391</v>
          </cell>
          <cell r="AR124">
            <v>0</v>
          </cell>
          <cell r="AS124">
            <v>0</v>
          </cell>
          <cell r="AT124">
            <v>0</v>
          </cell>
          <cell r="AU124">
            <v>0</v>
          </cell>
          <cell r="AV124">
            <v>0</v>
          </cell>
          <cell r="AW124">
            <v>0</v>
          </cell>
          <cell r="AX124">
            <v>0</v>
          </cell>
          <cell r="AY124">
            <v>164.35910250000001</v>
          </cell>
          <cell r="AZ124">
            <v>164.35910250000001</v>
          </cell>
          <cell r="BA124">
            <v>164.35910250000001</v>
          </cell>
          <cell r="BB124">
            <v>164.35910250000001</v>
          </cell>
          <cell r="BC124">
            <v>164.35910250000001</v>
          </cell>
          <cell r="BD124">
            <v>164.35910250000001</v>
          </cell>
          <cell r="BE124">
            <v>164.35910250000001</v>
          </cell>
          <cell r="BF124">
            <v>164.35910250000001</v>
          </cell>
          <cell r="BG124">
            <v>164.35910250000001</v>
          </cell>
          <cell r="BH124">
            <v>161.71041390315327</v>
          </cell>
          <cell r="BI124">
            <v>161.71041390315327</v>
          </cell>
          <cell r="BJ124">
            <v>161.71041390315327</v>
          </cell>
          <cell r="BK124">
            <v>161.71041390315327</v>
          </cell>
          <cell r="BL124">
            <v>161.71041390315327</v>
          </cell>
          <cell r="BM124">
            <v>161.71041390315327</v>
          </cell>
          <cell r="BN124">
            <v>161.71041390315327</v>
          </cell>
          <cell r="BO124">
            <v>161.71041390315327</v>
          </cell>
          <cell r="BP124">
            <v>161.71041390315327</v>
          </cell>
          <cell r="BQ124">
            <v>2.6486885968467391</v>
          </cell>
          <cell r="BR124">
            <v>2.6486885968467391</v>
          </cell>
          <cell r="BS124">
            <v>2.6486885968467391</v>
          </cell>
          <cell r="BT124">
            <v>2.6486885968467391</v>
          </cell>
          <cell r="BU124">
            <v>2.6486885968467391</v>
          </cell>
          <cell r="BV124">
            <v>2.6486885968467391</v>
          </cell>
          <cell r="BW124">
            <v>2.6486885968467391</v>
          </cell>
          <cell r="BX124">
            <v>2.6486885968467391</v>
          </cell>
          <cell r="BY124">
            <v>2.6486885968467391</v>
          </cell>
          <cell r="CC124">
            <v>164.35910250000001</v>
          </cell>
          <cell r="CD124">
            <v>0</v>
          </cell>
          <cell r="CE124">
            <v>164.35910250000001</v>
          </cell>
          <cell r="CF124" t="str">
            <v xml:space="preserve">n.a. </v>
          </cell>
        </row>
        <row r="125">
          <cell r="F125" t="str">
            <v xml:space="preserve">Epsa </v>
          </cell>
          <cell r="L125">
            <v>312.3</v>
          </cell>
          <cell r="N125">
            <v>312.3</v>
          </cell>
          <cell r="O125">
            <v>0</v>
          </cell>
          <cell r="P125">
            <v>0.1</v>
          </cell>
          <cell r="Q125">
            <v>1.5</v>
          </cell>
          <cell r="R125">
            <v>1.7</v>
          </cell>
          <cell r="S125">
            <v>0</v>
          </cell>
          <cell r="T125">
            <v>531.70000000000005</v>
          </cell>
          <cell r="U125">
            <v>6.7278700999999996E-2</v>
          </cell>
          <cell r="V125">
            <v>0</v>
          </cell>
          <cell r="W125">
            <v>0</v>
          </cell>
          <cell r="X125">
            <v>0</v>
          </cell>
          <cell r="Y125">
            <v>0</v>
          </cell>
          <cell r="Z125">
            <v>0</v>
          </cell>
          <cell r="AA125">
            <v>535.06727870099996</v>
          </cell>
          <cell r="AB125">
            <v>0.29019882057363749</v>
          </cell>
          <cell r="AC125" t="str">
            <v/>
          </cell>
          <cell r="AD125">
            <v>0.29019882057363749</v>
          </cell>
          <cell r="AE125">
            <v>0</v>
          </cell>
          <cell r="AF125">
            <v>0</v>
          </cell>
          <cell r="AG125">
            <v>0</v>
          </cell>
          <cell r="AH125">
            <v>0</v>
          </cell>
          <cell r="AI125">
            <v>0</v>
          </cell>
          <cell r="AJ125">
            <v>0</v>
          </cell>
          <cell r="AK125">
            <v>535</v>
          </cell>
          <cell r="AL125">
            <v>0</v>
          </cell>
          <cell r="AM125">
            <v>0</v>
          </cell>
          <cell r="AN125">
            <v>0</v>
          </cell>
          <cell r="AO125">
            <v>0</v>
          </cell>
          <cell r="AP125">
            <v>0</v>
          </cell>
          <cell r="AQ125">
            <v>0.1</v>
          </cell>
          <cell r="AR125">
            <v>1.5</v>
          </cell>
          <cell r="AS125">
            <v>1.7</v>
          </cell>
          <cell r="AT125">
            <v>0</v>
          </cell>
          <cell r="AU125">
            <v>531.70000000000005</v>
          </cell>
          <cell r="AV125">
            <v>-534.93272129900004</v>
          </cell>
          <cell r="AW125">
            <v>0</v>
          </cell>
          <cell r="AX125">
            <v>0</v>
          </cell>
          <cell r="AY125">
            <v>0.1</v>
          </cell>
          <cell r="AZ125">
            <v>1.6</v>
          </cell>
          <cell r="BA125">
            <v>3.3</v>
          </cell>
          <cell r="BB125">
            <v>3.3</v>
          </cell>
          <cell r="BC125">
            <v>535</v>
          </cell>
          <cell r="BD125">
            <v>535.06727870099996</v>
          </cell>
          <cell r="BE125">
            <v>535.06727870099996</v>
          </cell>
          <cell r="BF125">
            <v>535.06727870099996</v>
          </cell>
          <cell r="BG125">
            <v>535.06727870099996</v>
          </cell>
          <cell r="BH125">
            <v>0</v>
          </cell>
          <cell r="BI125">
            <v>0</v>
          </cell>
          <cell r="BJ125">
            <v>0</v>
          </cell>
          <cell r="BK125">
            <v>0</v>
          </cell>
          <cell r="BL125">
            <v>0</v>
          </cell>
          <cell r="BM125">
            <v>535</v>
          </cell>
          <cell r="BN125">
            <v>535</v>
          </cell>
          <cell r="BO125">
            <v>535</v>
          </cell>
          <cell r="BP125">
            <v>535</v>
          </cell>
          <cell r="BQ125">
            <v>0.1</v>
          </cell>
          <cell r="BR125">
            <v>1.6</v>
          </cell>
          <cell r="BS125">
            <v>3.3</v>
          </cell>
          <cell r="BT125">
            <v>3.3</v>
          </cell>
          <cell r="BU125">
            <v>535</v>
          </cell>
          <cell r="BV125">
            <v>6.7278700999963803E-2</v>
          </cell>
          <cell r="BW125">
            <v>6.7278700999963803E-2</v>
          </cell>
          <cell r="BX125">
            <v>6.7278700999963803E-2</v>
          </cell>
          <cell r="BY125">
            <v>6.7278700999963803E-2</v>
          </cell>
          <cell r="CC125">
            <v>1.6</v>
          </cell>
          <cell r="CD125">
            <v>0</v>
          </cell>
          <cell r="CE125">
            <v>1.6</v>
          </cell>
          <cell r="CF125" t="str">
            <v xml:space="preserve">n.a. </v>
          </cell>
        </row>
        <row r="126">
          <cell r="AX126">
            <v>0</v>
          </cell>
          <cell r="BN126">
            <v>0</v>
          </cell>
          <cell r="BO126">
            <v>0</v>
          </cell>
        </row>
        <row r="127">
          <cell r="L127">
            <v>494.46593362474619</v>
          </cell>
          <cell r="M127">
            <v>-105</v>
          </cell>
          <cell r="N127">
            <v>389.46593362474619</v>
          </cell>
          <cell r="Q127">
            <v>565.83517064273622</v>
          </cell>
          <cell r="R127">
            <v>42.685130151915928</v>
          </cell>
          <cell r="S127">
            <v>121.74199531563303</v>
          </cell>
          <cell r="T127">
            <v>-716.07373198375967</v>
          </cell>
          <cell r="U127">
            <v>52.654882650232103</v>
          </cell>
          <cell r="V127">
            <v>-437.69818666688025</v>
          </cell>
          <cell r="W127">
            <v>746.83107923199123</v>
          </cell>
          <cell r="X127">
            <v>-565.43032128721893</v>
          </cell>
          <cell r="Y127">
            <v>459.90283069623837</v>
          </cell>
          <cell r="Z127">
            <v>1576.7389019964503</v>
          </cell>
          <cell r="AA127">
            <v>386.77268877276833</v>
          </cell>
          <cell r="AB127">
            <v>0.45947304115191756</v>
          </cell>
          <cell r="AC127">
            <v>-9.7569248031482342E-2</v>
          </cell>
          <cell r="AD127">
            <v>0.36190379312043525</v>
          </cell>
          <cell r="AE127">
            <v>508.70000000000005</v>
          </cell>
          <cell r="AF127">
            <v>0</v>
          </cell>
          <cell r="AG127">
            <v>0</v>
          </cell>
          <cell r="AH127">
            <v>0</v>
          </cell>
          <cell r="AI127">
            <v>0</v>
          </cell>
          <cell r="AJ127">
            <v>0</v>
          </cell>
          <cell r="AK127">
            <v>0</v>
          </cell>
          <cell r="AL127">
            <v>0</v>
          </cell>
          <cell r="AM127">
            <v>0</v>
          </cell>
          <cell r="AN127">
            <v>0</v>
          </cell>
          <cell r="AO127">
            <v>0</v>
          </cell>
          <cell r="AP127">
            <v>-728.72774775733319</v>
          </cell>
          <cell r="AQ127">
            <v>-1240.387314217237</v>
          </cell>
          <cell r="AR127">
            <v>565.83517064273622</v>
          </cell>
          <cell r="AS127">
            <v>42.685130151915928</v>
          </cell>
          <cell r="AT127">
            <v>121.74199531563303</v>
          </cell>
          <cell r="AU127">
            <v>-716.07373198375967</v>
          </cell>
          <cell r="AV127">
            <v>52.654882650232103</v>
          </cell>
          <cell r="AW127">
            <v>-437.69818666688025</v>
          </cell>
          <cell r="AX127">
            <v>746.83107923199123</v>
          </cell>
          <cell r="AY127">
            <v>-1460.4150619745701</v>
          </cell>
          <cell r="AZ127">
            <v>-894.57989133183389</v>
          </cell>
          <cell r="BA127">
            <v>-851.89476117991796</v>
          </cell>
          <cell r="BB127">
            <v>-730.1527658642849</v>
          </cell>
          <cell r="BC127">
            <v>-1446.2264978480446</v>
          </cell>
          <cell r="BD127">
            <v>-1393.5716151978124</v>
          </cell>
          <cell r="BE127">
            <v>-1831.2698018646927</v>
          </cell>
          <cell r="BF127">
            <v>-1084.4387226327015</v>
          </cell>
          <cell r="BG127">
            <v>-1649.8690439199204</v>
          </cell>
          <cell r="BH127">
            <v>508.70000000000005</v>
          </cell>
          <cell r="BI127">
            <v>508.70000000000005</v>
          </cell>
          <cell r="BJ127">
            <v>508.70000000000005</v>
          </cell>
          <cell r="BK127">
            <v>508.70000000000005</v>
          </cell>
          <cell r="BL127">
            <v>508.70000000000005</v>
          </cell>
          <cell r="BM127">
            <v>508.70000000000005</v>
          </cell>
          <cell r="BN127">
            <v>508.70000000000005</v>
          </cell>
          <cell r="BO127">
            <v>508.70000000000005</v>
          </cell>
          <cell r="BP127">
            <v>508.70000000000005</v>
          </cell>
          <cell r="BQ127">
            <v>-1969.1150619745699</v>
          </cell>
          <cell r="BR127">
            <v>-1403.2798913318338</v>
          </cell>
          <cell r="BS127">
            <v>-1360.5947611799179</v>
          </cell>
          <cell r="BT127">
            <v>-1238.8527658642849</v>
          </cell>
          <cell r="BU127">
            <v>-1954.9264978480446</v>
          </cell>
          <cell r="BV127">
            <v>-1902.2716151978125</v>
          </cell>
          <cell r="BW127">
            <v>-2339.9698018646927</v>
          </cell>
          <cell r="BX127">
            <v>-1593.1387226327015</v>
          </cell>
          <cell r="BY127">
            <v>-2158.5690439199207</v>
          </cell>
          <cell r="BZ127">
            <v>133.48042187999999</v>
          </cell>
          <cell r="CA127">
            <v>-222.04193587760008</v>
          </cell>
          <cell r="CB127">
            <v>227.13897456100011</v>
          </cell>
          <cell r="CC127">
            <v>-894.57989133183389</v>
          </cell>
          <cell r="CD127">
            <v>138.57746056340005</v>
          </cell>
          <cell r="CE127">
            <v>-1033.1573518952339</v>
          </cell>
          <cell r="CF127">
            <v>-745.54501698532567</v>
          </cell>
        </row>
        <row r="128">
          <cell r="L128">
            <v>399.66593362474617</v>
          </cell>
          <cell r="M128">
            <v>0</v>
          </cell>
          <cell r="N128">
            <v>399.66593362474617</v>
          </cell>
          <cell r="Q128">
            <v>-30.112321813264227</v>
          </cell>
          <cell r="R128">
            <v>293.96046498791429</v>
          </cell>
          <cell r="S128">
            <v>131.99697951248331</v>
          </cell>
          <cell r="T128">
            <v>-429.1030702787582</v>
          </cell>
          <cell r="U128">
            <v>53.862612822234006</v>
          </cell>
          <cell r="V128">
            <v>222.47641698612006</v>
          </cell>
          <cell r="W128">
            <v>264.01452723499602</v>
          </cell>
          <cell r="X128">
            <v>46.525055275661792</v>
          </cell>
          <cell r="Y128">
            <v>54.253219819235881</v>
          </cell>
          <cell r="Z128">
            <v>578.56029855644999</v>
          </cell>
          <cell r="AA128">
            <v>603.55169489150296</v>
          </cell>
          <cell r="AB128">
            <v>0.3713819486434935</v>
          </cell>
          <cell r="AC128" t="str">
            <v/>
          </cell>
          <cell r="AD128">
            <v>0.3713819486434935</v>
          </cell>
          <cell r="AE128">
            <v>538.70000000000005</v>
          </cell>
          <cell r="AF128">
            <v>0</v>
          </cell>
          <cell r="AG128">
            <v>0</v>
          </cell>
          <cell r="AH128">
            <v>0</v>
          </cell>
          <cell r="AI128">
            <v>0</v>
          </cell>
          <cell r="AJ128">
            <v>0</v>
          </cell>
          <cell r="AK128">
            <v>0</v>
          </cell>
          <cell r="AL128">
            <v>0</v>
          </cell>
          <cell r="AM128">
            <v>0</v>
          </cell>
          <cell r="AN128">
            <v>0</v>
          </cell>
          <cell r="AO128">
            <v>0</v>
          </cell>
          <cell r="AP128">
            <v>-305.24850433333336</v>
          </cell>
          <cell r="AQ128">
            <v>-816.33398387823672</v>
          </cell>
          <cell r="AR128">
            <v>-30.112321813264227</v>
          </cell>
          <cell r="AS128">
            <v>293.96046498791429</v>
          </cell>
          <cell r="AT128">
            <v>131.99697951248331</v>
          </cell>
          <cell r="AU128">
            <v>-429.1030702787582</v>
          </cell>
          <cell r="AV128">
            <v>53.862612822234006</v>
          </cell>
          <cell r="AW128">
            <v>222.47641698612006</v>
          </cell>
          <cell r="AX128">
            <v>264.01452723499602</v>
          </cell>
          <cell r="AY128">
            <v>-582.88248821157003</v>
          </cell>
          <cell r="AZ128">
            <v>-612.99481002483424</v>
          </cell>
          <cell r="BA128">
            <v>-319.03434503691994</v>
          </cell>
          <cell r="BB128">
            <v>-187.03736552443661</v>
          </cell>
          <cell r="BC128">
            <v>-616.1404358031948</v>
          </cell>
          <cell r="BD128">
            <v>-562.27782298096076</v>
          </cell>
          <cell r="BE128">
            <v>-339.80140599484071</v>
          </cell>
          <cell r="BF128">
            <v>-75.786878759844683</v>
          </cell>
          <cell r="BG128">
            <v>-29.261823484182912</v>
          </cell>
          <cell r="BH128">
            <v>538.70000000000005</v>
          </cell>
          <cell r="BI128">
            <v>538.70000000000005</v>
          </cell>
          <cell r="BJ128">
            <v>538.70000000000005</v>
          </cell>
          <cell r="BK128">
            <v>538.70000000000005</v>
          </cell>
          <cell r="BL128">
            <v>538.70000000000005</v>
          </cell>
          <cell r="BM128">
            <v>538.70000000000005</v>
          </cell>
          <cell r="BN128">
            <v>538.70000000000005</v>
          </cell>
          <cell r="BO128">
            <v>538.70000000000005</v>
          </cell>
          <cell r="BP128">
            <v>538.70000000000005</v>
          </cell>
          <cell r="BQ128">
            <v>-1121.5824882115699</v>
          </cell>
          <cell r="BR128">
            <v>-1151.6948100248342</v>
          </cell>
          <cell r="BS128">
            <v>-857.73434503691999</v>
          </cell>
          <cell r="BT128">
            <v>-725.73736552443665</v>
          </cell>
          <cell r="BU128">
            <v>-1154.8404358031949</v>
          </cell>
          <cell r="BV128">
            <v>-1100.9778229809608</v>
          </cell>
          <cell r="BW128">
            <v>-878.50140599484075</v>
          </cell>
          <cell r="BX128">
            <v>-614.48687875984479</v>
          </cell>
          <cell r="BY128">
            <v>-567.96182348418301</v>
          </cell>
          <cell r="BZ128">
            <v>47.340546880000005</v>
          </cell>
          <cell r="CA128">
            <v>-219.18651125660006</v>
          </cell>
          <cell r="CB128">
            <v>-71.816450059999909</v>
          </cell>
          <cell r="CC128">
            <v>-612.99481002483424</v>
          </cell>
          <cell r="CD128">
            <v>-243.66241443659993</v>
          </cell>
          <cell r="CE128">
            <v>-369.33239558823431</v>
          </cell>
          <cell r="CF128">
            <v>151.57544771203652</v>
          </cell>
        </row>
        <row r="129">
          <cell r="G129" t="str">
            <v>Utilización Portafolio Tesoreria</v>
          </cell>
          <cell r="L129">
            <v>620.90776154493005</v>
          </cell>
          <cell r="N129">
            <v>620.90776154493005</v>
          </cell>
          <cell r="O129">
            <v>141.83744633333336</v>
          </cell>
          <cell r="P129">
            <v>-816.33398387823672</v>
          </cell>
          <cell r="Q129">
            <v>-30.112321813264227</v>
          </cell>
          <cell r="R129">
            <v>293.96046498791429</v>
          </cell>
          <cell r="S129">
            <v>131.99697951248331</v>
          </cell>
          <cell r="T129">
            <v>106.67200472124185</v>
          </cell>
          <cell r="U129">
            <v>53.862612822234006</v>
          </cell>
          <cell r="V129">
            <v>222.47641698612006</v>
          </cell>
          <cell r="W129">
            <v>264.01452723499602</v>
          </cell>
          <cell r="X129">
            <v>46.525055275661792</v>
          </cell>
          <cell r="Y129">
            <v>41.436198461096744</v>
          </cell>
          <cell r="Z129">
            <v>250.53679855644995</v>
          </cell>
          <cell r="AA129">
            <v>706.87219920003042</v>
          </cell>
          <cell r="AB129">
            <v>0.57696669896047403</v>
          </cell>
          <cell r="AC129" t="str">
            <v/>
          </cell>
          <cell r="AD129">
            <v>0.57696669896047403</v>
          </cell>
          <cell r="AE129">
            <v>448.15828804700004</v>
          </cell>
          <cell r="AF129">
            <v>0</v>
          </cell>
          <cell r="AG129">
            <v>0</v>
          </cell>
          <cell r="AH129">
            <v>0</v>
          </cell>
          <cell r="AI129">
            <v>0</v>
          </cell>
          <cell r="AJ129">
            <v>0</v>
          </cell>
          <cell r="AK129">
            <v>0</v>
          </cell>
          <cell r="AL129">
            <v>0</v>
          </cell>
          <cell r="AM129">
            <v>0</v>
          </cell>
          <cell r="AN129">
            <v>0</v>
          </cell>
          <cell r="AO129">
            <v>0</v>
          </cell>
          <cell r="AP129">
            <v>-306.32084171366671</v>
          </cell>
          <cell r="AQ129">
            <v>-816.33398387823672</v>
          </cell>
          <cell r="AR129">
            <v>-30.112321813264227</v>
          </cell>
          <cell r="AS129">
            <v>293.96046498791429</v>
          </cell>
          <cell r="AT129">
            <v>131.99697951248331</v>
          </cell>
          <cell r="AU129">
            <v>106.67200472124185</v>
          </cell>
          <cell r="AV129">
            <v>53.862612822234006</v>
          </cell>
          <cell r="AW129">
            <v>222.47641698612006</v>
          </cell>
          <cell r="AX129">
            <v>264.01452723499602</v>
          </cell>
          <cell r="AY129">
            <v>-674.49653754490339</v>
          </cell>
          <cell r="AZ129">
            <v>-704.60885935816759</v>
          </cell>
          <cell r="BA129">
            <v>-410.6483943702533</v>
          </cell>
          <cell r="BB129">
            <v>-278.65141485776996</v>
          </cell>
          <cell r="BC129">
            <v>-171.97941013652812</v>
          </cell>
          <cell r="BD129">
            <v>-118.1167973142941</v>
          </cell>
          <cell r="BE129">
            <v>104.35961967182595</v>
          </cell>
          <cell r="BF129">
            <v>368.37414690682198</v>
          </cell>
          <cell r="BG129">
            <v>414.89920218248375</v>
          </cell>
          <cell r="BH129">
            <v>448.15828804700004</v>
          </cell>
          <cell r="BI129">
            <v>448.15828804700004</v>
          </cell>
          <cell r="BJ129">
            <v>448.15828804700004</v>
          </cell>
          <cell r="BK129">
            <v>448.15828804700004</v>
          </cell>
          <cell r="BL129">
            <v>448.15828804700004</v>
          </cell>
          <cell r="BM129">
            <v>448.15828804700004</v>
          </cell>
          <cell r="BN129">
            <v>448.15828804700004</v>
          </cell>
          <cell r="BO129">
            <v>448.15828804700004</v>
          </cell>
          <cell r="BP129">
            <v>448.15828804700004</v>
          </cell>
          <cell r="BQ129">
            <v>-1122.6548255919033</v>
          </cell>
          <cell r="BR129">
            <v>-1152.7671474051676</v>
          </cell>
          <cell r="BS129">
            <v>-858.80668241725334</v>
          </cell>
          <cell r="BT129">
            <v>-726.80970290477001</v>
          </cell>
          <cell r="BU129">
            <v>-620.13769818352819</v>
          </cell>
          <cell r="BV129">
            <v>-566.27508536129415</v>
          </cell>
          <cell r="BW129">
            <v>-343.79866837517409</v>
          </cell>
          <cell r="BX129">
            <v>-79.784141140178065</v>
          </cell>
          <cell r="BY129">
            <v>-33.259085864516294</v>
          </cell>
          <cell r="BZ129">
            <v>-42.656453119999995</v>
          </cell>
          <cell r="CA129">
            <v>-219.18651125660006</v>
          </cell>
          <cell r="CB129">
            <v>-71.816450059999909</v>
          </cell>
          <cell r="CC129">
            <v>-704.60885935816759</v>
          </cell>
          <cell r="CD129">
            <v>-333.65941443659995</v>
          </cell>
          <cell r="CE129">
            <v>-370.94944492156765</v>
          </cell>
          <cell r="CF129">
            <v>111.17607622369468</v>
          </cell>
        </row>
        <row r="130">
          <cell r="G130" t="str">
            <v>Utilización Portafolio Larga Distancia</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cell r="AD130" t="str">
            <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CC130">
            <v>0</v>
          </cell>
          <cell r="CD130">
            <v>0</v>
          </cell>
          <cell r="CE130">
            <v>0</v>
          </cell>
          <cell r="CF130" t="str">
            <v xml:space="preserve">n.a. </v>
          </cell>
        </row>
        <row r="131">
          <cell r="G131" t="str">
            <v>Utilización Portafolio Telefonia Celular</v>
          </cell>
          <cell r="L131">
            <v>8.8901720798161357</v>
          </cell>
          <cell r="N131">
            <v>8.8901720798161357</v>
          </cell>
          <cell r="O131">
            <v>91.614049333333355</v>
          </cell>
          <cell r="P131">
            <v>0</v>
          </cell>
          <cell r="Q131">
            <v>0</v>
          </cell>
          <cell r="R131">
            <v>0</v>
          </cell>
          <cell r="S131">
            <v>0</v>
          </cell>
          <cell r="T131">
            <v>0</v>
          </cell>
          <cell r="U131">
            <v>0</v>
          </cell>
          <cell r="V131">
            <v>0</v>
          </cell>
          <cell r="W131">
            <v>0</v>
          </cell>
          <cell r="X131">
            <v>0</v>
          </cell>
          <cell r="Y131">
            <v>0</v>
          </cell>
          <cell r="Z131">
            <v>0</v>
          </cell>
          <cell r="AA131">
            <v>91.614049333333355</v>
          </cell>
          <cell r="AB131">
            <v>8.2610229018870458E-3</v>
          </cell>
          <cell r="AC131" t="str">
            <v/>
          </cell>
          <cell r="AD131">
            <v>8.2610229018870458E-3</v>
          </cell>
          <cell r="AE131">
            <v>90.541711952999989</v>
          </cell>
          <cell r="AF131">
            <v>0</v>
          </cell>
          <cell r="AG131">
            <v>0</v>
          </cell>
          <cell r="AH131">
            <v>0</v>
          </cell>
          <cell r="AI131">
            <v>0</v>
          </cell>
          <cell r="AJ131">
            <v>0</v>
          </cell>
          <cell r="AK131">
            <v>0</v>
          </cell>
          <cell r="AL131">
            <v>0</v>
          </cell>
          <cell r="AM131">
            <v>0</v>
          </cell>
          <cell r="AN131">
            <v>0</v>
          </cell>
          <cell r="AO131">
            <v>0</v>
          </cell>
          <cell r="AP131">
            <v>1.0723373803333658</v>
          </cell>
          <cell r="AQ131">
            <v>0</v>
          </cell>
          <cell r="AR131">
            <v>0</v>
          </cell>
          <cell r="AS131">
            <v>0</v>
          </cell>
          <cell r="AT131">
            <v>0</v>
          </cell>
          <cell r="AU131">
            <v>0</v>
          </cell>
          <cell r="AV131">
            <v>0</v>
          </cell>
          <cell r="AW131">
            <v>0</v>
          </cell>
          <cell r="AX131">
            <v>0</v>
          </cell>
          <cell r="AY131">
            <v>91.614049333333355</v>
          </cell>
          <cell r="AZ131">
            <v>91.614049333333355</v>
          </cell>
          <cell r="BA131">
            <v>91.614049333333355</v>
          </cell>
          <cell r="BB131">
            <v>91.614049333333355</v>
          </cell>
          <cell r="BC131">
            <v>91.614049333333355</v>
          </cell>
          <cell r="BD131">
            <v>91.614049333333355</v>
          </cell>
          <cell r="BE131">
            <v>91.614049333333355</v>
          </cell>
          <cell r="BF131">
            <v>91.614049333333355</v>
          </cell>
          <cell r="BG131">
            <v>91.614049333333355</v>
          </cell>
          <cell r="BH131">
            <v>90.541711952999989</v>
          </cell>
          <cell r="BI131">
            <v>90.541711952999989</v>
          </cell>
          <cell r="BJ131">
            <v>90.541711952999989</v>
          </cell>
          <cell r="BK131">
            <v>90.541711952999989</v>
          </cell>
          <cell r="BL131">
            <v>90.541711952999989</v>
          </cell>
          <cell r="BM131">
            <v>90.541711952999989</v>
          </cell>
          <cell r="BN131">
            <v>90.541711952999989</v>
          </cell>
          <cell r="BO131">
            <v>90.541711952999989</v>
          </cell>
          <cell r="BP131">
            <v>90.541711952999989</v>
          </cell>
          <cell r="BQ131">
            <v>1.0723373803333658</v>
          </cell>
          <cell r="BR131">
            <v>1.0723373803333658</v>
          </cell>
          <cell r="BS131">
            <v>1.0723373803333658</v>
          </cell>
          <cell r="BT131">
            <v>1.0723373803333658</v>
          </cell>
          <cell r="BU131">
            <v>1.0723373803333658</v>
          </cell>
          <cell r="BV131">
            <v>1.0723373803333658</v>
          </cell>
          <cell r="BW131">
            <v>1.0723373803333658</v>
          </cell>
          <cell r="BX131">
            <v>1.0723373803333658</v>
          </cell>
          <cell r="BY131">
            <v>1.0723373803333658</v>
          </cell>
          <cell r="BZ131">
            <v>89.997</v>
          </cell>
          <cell r="CA131">
            <v>0</v>
          </cell>
          <cell r="CB131">
            <v>0</v>
          </cell>
          <cell r="CC131">
            <v>91.614049333333355</v>
          </cell>
          <cell r="CD131">
            <v>89.997</v>
          </cell>
          <cell r="CE131">
            <v>1.6170493333333553</v>
          </cell>
          <cell r="CF131">
            <v>1.7967813741939898</v>
          </cell>
        </row>
        <row r="132">
          <cell r="G132" t="str">
            <v>Utilización Portafolio EPSA</v>
          </cell>
          <cell r="L132">
            <v>-312.3</v>
          </cell>
          <cell r="N132">
            <v>-312.3</v>
          </cell>
          <cell r="O132">
            <v>0</v>
          </cell>
          <cell r="P132">
            <v>0</v>
          </cell>
          <cell r="Q132">
            <v>0</v>
          </cell>
          <cell r="R132">
            <v>0</v>
          </cell>
          <cell r="S132">
            <v>0</v>
          </cell>
          <cell r="T132">
            <v>-535.77507500000002</v>
          </cell>
          <cell r="U132">
            <v>0</v>
          </cell>
          <cell r="V132">
            <v>0</v>
          </cell>
          <cell r="W132">
            <v>0</v>
          </cell>
          <cell r="X132">
            <v>0</v>
          </cell>
          <cell r="Y132">
            <v>12.817021358139133</v>
          </cell>
          <cell r="Z132">
            <v>328.02350000000001</v>
          </cell>
          <cell r="AA132">
            <v>-194.93455364186082</v>
          </cell>
          <cell r="AB132">
            <v>-0.29019882057363749</v>
          </cell>
          <cell r="AC132" t="str">
            <v/>
          </cell>
          <cell r="AD132">
            <v>-0.29019882057363749</v>
          </cell>
          <cell r="AP132">
            <v>0</v>
          </cell>
          <cell r="AQ132">
            <v>0</v>
          </cell>
          <cell r="AR132">
            <v>0</v>
          </cell>
          <cell r="AS132">
            <v>0</v>
          </cell>
          <cell r="AT132">
            <v>0</v>
          </cell>
          <cell r="AU132">
            <v>-535.77507500000002</v>
          </cell>
          <cell r="AV132">
            <v>0</v>
          </cell>
          <cell r="AW132">
            <v>0</v>
          </cell>
          <cell r="AX132">
            <v>0</v>
          </cell>
          <cell r="AY132">
            <v>0</v>
          </cell>
          <cell r="AZ132">
            <v>0</v>
          </cell>
          <cell r="BA132">
            <v>0</v>
          </cell>
          <cell r="BB132">
            <v>0</v>
          </cell>
          <cell r="BC132">
            <v>-535.77507500000002</v>
          </cell>
          <cell r="BD132">
            <v>-535.77507500000002</v>
          </cell>
          <cell r="BE132">
            <v>-535.77507500000002</v>
          </cell>
          <cell r="BF132">
            <v>-535.77507500000002</v>
          </cell>
          <cell r="BG132">
            <v>-535.77507500000002</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-535.77507500000002</v>
          </cell>
          <cell r="BV132">
            <v>-535.77507500000002</v>
          </cell>
          <cell r="BW132">
            <v>-535.77507500000002</v>
          </cell>
          <cell r="BX132">
            <v>-535.77507500000002</v>
          </cell>
          <cell r="BY132">
            <v>-535.77507500000002</v>
          </cell>
          <cell r="CC132">
            <v>0</v>
          </cell>
          <cell r="CD132">
            <v>0</v>
          </cell>
          <cell r="CE132">
            <v>0</v>
          </cell>
          <cell r="CF132" t="str">
            <v xml:space="preserve">n.a. </v>
          </cell>
        </row>
        <row r="133">
          <cell r="L133">
            <v>94.8</v>
          </cell>
          <cell r="M133">
            <v>-105</v>
          </cell>
          <cell r="N133">
            <v>-10.200000000000003</v>
          </cell>
          <cell r="Q133">
            <v>595.94749245600042</v>
          </cell>
          <cell r="R133">
            <v>-251.27533483599836</v>
          </cell>
          <cell r="S133">
            <v>-10.254984196850273</v>
          </cell>
          <cell r="T133">
            <v>-286.97066170500148</v>
          </cell>
          <cell r="U133">
            <v>-1.2077301720019022</v>
          </cell>
          <cell r="V133">
            <v>-660.1746036530003</v>
          </cell>
          <cell r="W133">
            <v>482.81655199699526</v>
          </cell>
          <cell r="X133">
            <v>-611.9553765628807</v>
          </cell>
          <cell r="Y133">
            <v>405.64961087700249</v>
          </cell>
          <cell r="Z133">
            <v>998.17860344000019</v>
          </cell>
          <cell r="AA133">
            <v>-216.77900611873474</v>
          </cell>
          <cell r="AB133">
            <v>8.8091092508424063E-2</v>
          </cell>
          <cell r="AC133">
            <v>-9.7569248031482342E-2</v>
          </cell>
          <cell r="AD133">
            <v>-9.4781555230582879E-3</v>
          </cell>
          <cell r="AE133">
            <v>-30</v>
          </cell>
          <cell r="AF133">
            <v>0</v>
          </cell>
          <cell r="AG133">
            <v>0</v>
          </cell>
          <cell r="AH133">
            <v>0</v>
          </cell>
          <cell r="AI133">
            <v>0</v>
          </cell>
          <cell r="AJ133">
            <v>0</v>
          </cell>
          <cell r="AK133">
            <v>0</v>
          </cell>
          <cell r="AL133">
            <v>0</v>
          </cell>
          <cell r="AM133">
            <v>0</v>
          </cell>
          <cell r="AN133">
            <v>0</v>
          </cell>
          <cell r="AO133">
            <v>0</v>
          </cell>
          <cell r="AP133">
            <v>-423.47924342399983</v>
          </cell>
          <cell r="AQ133">
            <v>-424.05333033900024</v>
          </cell>
          <cell r="AR133">
            <v>595.94749245600042</v>
          </cell>
          <cell r="AS133">
            <v>-251.27533483599836</v>
          </cell>
          <cell r="AT133">
            <v>-10.254984196850273</v>
          </cell>
          <cell r="AU133">
            <v>-286.97066170500148</v>
          </cell>
          <cell r="AV133">
            <v>-1.2077301720019022</v>
          </cell>
          <cell r="AW133">
            <v>-660.1746036530003</v>
          </cell>
          <cell r="AX133">
            <v>482.81655199699526</v>
          </cell>
          <cell r="AY133">
            <v>-877.53257376300007</v>
          </cell>
          <cell r="AZ133">
            <v>-281.58508130699965</v>
          </cell>
          <cell r="BA133">
            <v>-532.86041614299802</v>
          </cell>
          <cell r="BB133">
            <v>-543.11540033984829</v>
          </cell>
          <cell r="BC133">
            <v>-830.08606204484977</v>
          </cell>
          <cell r="BD133">
            <v>-831.29379221685167</v>
          </cell>
          <cell r="BE133">
            <v>-1491.468395869852</v>
          </cell>
          <cell r="BF133">
            <v>-1008.6518438728567</v>
          </cell>
          <cell r="BG133">
            <v>-1620.6072204357374</v>
          </cell>
          <cell r="BH133">
            <v>-30</v>
          </cell>
          <cell r="BI133">
            <v>-30</v>
          </cell>
          <cell r="BJ133">
            <v>-30</v>
          </cell>
          <cell r="BK133">
            <v>-30</v>
          </cell>
          <cell r="BL133">
            <v>-30</v>
          </cell>
          <cell r="BM133">
            <v>-30</v>
          </cell>
          <cell r="BN133">
            <v>-30</v>
          </cell>
          <cell r="BO133">
            <v>-30</v>
          </cell>
          <cell r="BP133">
            <v>-30</v>
          </cell>
          <cell r="BQ133">
            <v>-847.53257376300007</v>
          </cell>
          <cell r="BR133">
            <v>-251.58508130699965</v>
          </cell>
          <cell r="BS133">
            <v>-502.86041614299802</v>
          </cell>
          <cell r="BT133">
            <v>-513.11540033984829</v>
          </cell>
          <cell r="BU133">
            <v>-800.08606204484977</v>
          </cell>
          <cell r="BV133">
            <v>-801.29379221685167</v>
          </cell>
          <cell r="BW133">
            <v>-1461.468395869852</v>
          </cell>
          <cell r="BX133">
            <v>-978.65184387285672</v>
          </cell>
          <cell r="BY133">
            <v>-1590.6072204357374</v>
          </cell>
          <cell r="BZ133">
            <v>86.139874999999989</v>
          </cell>
          <cell r="CA133">
            <v>-2.8554246210000165</v>
          </cell>
          <cell r="CB133">
            <v>298.95542462100002</v>
          </cell>
          <cell r="CC133">
            <v>-281.58508130699965</v>
          </cell>
          <cell r="CD133">
            <v>382.23987499999998</v>
          </cell>
          <cell r="CE133">
            <v>-663.82495630699964</v>
          </cell>
          <cell r="CF133">
            <v>-173.66711317258557</v>
          </cell>
        </row>
        <row r="134">
          <cell r="G134" t="str">
            <v>Utilización Portafolio Tesoreria</v>
          </cell>
          <cell r="L134">
            <v>37</v>
          </cell>
          <cell r="N134">
            <v>37</v>
          </cell>
          <cell r="O134">
            <v>-423.47924342399983</v>
          </cell>
          <cell r="P134">
            <v>-424.05333033900024</v>
          </cell>
          <cell r="Q134">
            <v>595.94749245600042</v>
          </cell>
          <cell r="R134">
            <v>-251.27533483599836</v>
          </cell>
          <cell r="S134">
            <v>-10.254984196850273</v>
          </cell>
          <cell r="T134">
            <v>-286.97066170500148</v>
          </cell>
          <cell r="U134">
            <v>-1.2077301720019022</v>
          </cell>
          <cell r="V134">
            <v>-660.1746036530003</v>
          </cell>
          <cell r="W134">
            <v>482.81655199699526</v>
          </cell>
          <cell r="X134">
            <v>-611.9553765628807</v>
          </cell>
          <cell r="Y134">
            <v>405.64961087700249</v>
          </cell>
          <cell r="Z134">
            <v>998.17860344000019</v>
          </cell>
          <cell r="AA134">
            <v>-186.77900611873474</v>
          </cell>
          <cell r="AB134">
            <v>3.4381544544427114E-2</v>
          </cell>
          <cell r="AC134" t="str">
            <v/>
          </cell>
          <cell r="AD134">
            <v>3.4381544544427114E-2</v>
          </cell>
          <cell r="AE134">
            <v>0</v>
          </cell>
          <cell r="AF134">
            <v>0</v>
          </cell>
          <cell r="AG134">
            <v>0</v>
          </cell>
          <cell r="AH134">
            <v>0</v>
          </cell>
          <cell r="AI134">
            <v>0</v>
          </cell>
          <cell r="AJ134">
            <v>0</v>
          </cell>
          <cell r="AK134">
            <v>0</v>
          </cell>
          <cell r="AL134">
            <v>0</v>
          </cell>
          <cell r="AM134">
            <v>0</v>
          </cell>
          <cell r="AN134">
            <v>0</v>
          </cell>
          <cell r="AO134">
            <v>0</v>
          </cell>
          <cell r="AP134">
            <v>-423.47924342399983</v>
          </cell>
          <cell r="AQ134">
            <v>-424.05333033900024</v>
          </cell>
          <cell r="AR134">
            <v>595.94749245600042</v>
          </cell>
          <cell r="AS134">
            <v>-251.27533483599836</v>
          </cell>
          <cell r="AT134">
            <v>-10.254984196850273</v>
          </cell>
          <cell r="AU134">
            <v>-286.97066170500148</v>
          </cell>
          <cell r="AV134">
            <v>-1.2077301720019022</v>
          </cell>
          <cell r="AW134">
            <v>-660.1746036530003</v>
          </cell>
          <cell r="AX134">
            <v>482.81655199699526</v>
          </cell>
          <cell r="AY134">
            <v>-847.53257376300007</v>
          </cell>
          <cell r="AZ134">
            <v>-251.58508130699965</v>
          </cell>
          <cell r="BA134">
            <v>-502.86041614299802</v>
          </cell>
          <cell r="BB134">
            <v>-513.11540033984829</v>
          </cell>
          <cell r="BC134">
            <v>-800.08606204484977</v>
          </cell>
          <cell r="BD134">
            <v>-801.29379221685167</v>
          </cell>
          <cell r="BE134">
            <v>-1461.468395869852</v>
          </cell>
          <cell r="BF134">
            <v>-978.65184387285672</v>
          </cell>
          <cell r="BG134">
            <v>-1590.6072204357374</v>
          </cell>
          <cell r="BH134">
            <v>0</v>
          </cell>
          <cell r="BI134">
            <v>0</v>
          </cell>
          <cell r="BJ134">
            <v>0</v>
          </cell>
          <cell r="BK134">
            <v>0</v>
          </cell>
          <cell r="BL134">
            <v>0</v>
          </cell>
          <cell r="BM134">
            <v>0</v>
          </cell>
          <cell r="BN134">
            <v>0</v>
          </cell>
          <cell r="BO134">
            <v>0</v>
          </cell>
          <cell r="BP134">
            <v>0</v>
          </cell>
          <cell r="BQ134">
            <v>-847.53257376300007</v>
          </cell>
          <cell r="BR134">
            <v>-251.58508130699965</v>
          </cell>
          <cell r="BS134">
            <v>-502.86041614299802</v>
          </cell>
          <cell r="BT134">
            <v>-513.11540033984829</v>
          </cell>
          <cell r="BU134">
            <v>-800.08606204484977</v>
          </cell>
          <cell r="BV134">
            <v>-801.29379221685167</v>
          </cell>
          <cell r="BW134">
            <v>-1461.468395869852</v>
          </cell>
          <cell r="BX134">
            <v>-978.65184387285672</v>
          </cell>
          <cell r="BY134">
            <v>-1590.6072204357374</v>
          </cell>
          <cell r="BZ134">
            <v>86.139874999999989</v>
          </cell>
          <cell r="CA134">
            <v>-2.8554246210000165</v>
          </cell>
          <cell r="CB134">
            <v>298.95542462100002</v>
          </cell>
          <cell r="CC134">
            <v>-251.58508130699965</v>
          </cell>
          <cell r="CD134">
            <v>382.23987499999998</v>
          </cell>
          <cell r="CE134">
            <v>-633.82495630699964</v>
          </cell>
          <cell r="CF134">
            <v>-165.81863844189456</v>
          </cell>
          <cell r="CK134">
            <v>100</v>
          </cell>
          <cell r="CL134">
            <v>-100</v>
          </cell>
          <cell r="CM134">
            <v>-200</v>
          </cell>
        </row>
        <row r="135">
          <cell r="G135" t="str">
            <v>Utilización Cartera FSA</v>
          </cell>
          <cell r="M135">
            <v>-105</v>
          </cell>
          <cell r="N135">
            <v>-105</v>
          </cell>
          <cell r="O135">
            <v>-30</v>
          </cell>
          <cell r="P135">
            <v>0</v>
          </cell>
          <cell r="Q135">
            <v>0</v>
          </cell>
          <cell r="R135">
            <v>0</v>
          </cell>
          <cell r="S135">
            <v>0</v>
          </cell>
          <cell r="T135">
            <v>0</v>
          </cell>
          <cell r="U135">
            <v>0</v>
          </cell>
          <cell r="V135">
            <v>0</v>
          </cell>
          <cell r="W135">
            <v>0</v>
          </cell>
          <cell r="X135">
            <v>0</v>
          </cell>
          <cell r="Y135">
            <v>0</v>
          </cell>
          <cell r="Z135">
            <v>0</v>
          </cell>
          <cell r="AA135">
            <v>-30</v>
          </cell>
          <cell r="AB135" t="str">
            <v/>
          </cell>
          <cell r="AC135">
            <v>-9.7569248031482342E-2</v>
          </cell>
          <cell r="AD135">
            <v>-9.7569248031482342E-2</v>
          </cell>
          <cell r="AE135">
            <v>-30</v>
          </cell>
          <cell r="AP135">
            <v>0</v>
          </cell>
          <cell r="AQ135">
            <v>0</v>
          </cell>
          <cell r="AR135">
            <v>0</v>
          </cell>
          <cell r="AS135">
            <v>0</v>
          </cell>
          <cell r="AT135">
            <v>0</v>
          </cell>
          <cell r="AU135">
            <v>0</v>
          </cell>
          <cell r="AV135">
            <v>0</v>
          </cell>
          <cell r="AW135">
            <v>0</v>
          </cell>
          <cell r="AX135">
            <v>0</v>
          </cell>
          <cell r="AY135">
            <v>-30</v>
          </cell>
          <cell r="AZ135">
            <v>-30</v>
          </cell>
          <cell r="BA135">
            <v>-30</v>
          </cell>
          <cell r="BB135">
            <v>-30</v>
          </cell>
          <cell r="BC135">
            <v>-30</v>
          </cell>
          <cell r="BD135">
            <v>-30</v>
          </cell>
          <cell r="BE135">
            <v>-30</v>
          </cell>
          <cell r="BF135">
            <v>-30</v>
          </cell>
          <cell r="BG135">
            <v>-30</v>
          </cell>
          <cell r="BH135">
            <v>-30</v>
          </cell>
          <cell r="BI135">
            <v>-30</v>
          </cell>
          <cell r="BJ135">
            <v>-30</v>
          </cell>
          <cell r="BK135">
            <v>-30</v>
          </cell>
          <cell r="BL135">
            <v>-30</v>
          </cell>
          <cell r="BM135">
            <v>-30</v>
          </cell>
          <cell r="BN135">
            <v>-30</v>
          </cell>
          <cell r="BO135">
            <v>-30</v>
          </cell>
          <cell r="BP135">
            <v>-30</v>
          </cell>
          <cell r="BR135">
            <v>0</v>
          </cell>
          <cell r="BW135">
            <v>0</v>
          </cell>
          <cell r="BX135">
            <v>0</v>
          </cell>
          <cell r="BY135">
            <v>0</v>
          </cell>
          <cell r="CC135">
            <v>-30</v>
          </cell>
          <cell r="CD135">
            <v>0</v>
          </cell>
          <cell r="CE135">
            <v>-30</v>
          </cell>
          <cell r="CF135" t="str">
            <v xml:space="preserve">n.a. </v>
          </cell>
        </row>
        <row r="136">
          <cell r="Q136">
            <v>113.60904076154917</v>
          </cell>
          <cell r="R136">
            <v>-30.31941150553935</v>
          </cell>
          <cell r="S136">
            <v>47.558428417285803</v>
          </cell>
          <cell r="T136">
            <v>-21.640834195668504</v>
          </cell>
          <cell r="U136">
            <v>2.8244104159981589</v>
          </cell>
          <cell r="V136">
            <v>-57.23175594150689</v>
          </cell>
          <cell r="W136">
            <v>31.669447855394424</v>
          </cell>
          <cell r="X136">
            <v>5.1598940377396048</v>
          </cell>
          <cell r="Y136">
            <v>-29.310037596407653</v>
          </cell>
          <cell r="Z136">
            <v>-961.60703299351542</v>
          </cell>
          <cell r="AA136">
            <v>-1106.553734344036</v>
          </cell>
          <cell r="AE136">
            <v>-210.15052579043538</v>
          </cell>
          <cell r="AF136">
            <v>-1151.2558269251037</v>
          </cell>
          <cell r="AG136">
            <v>1039.6382495434837</v>
          </cell>
          <cell r="AH136">
            <v>-61.374269149178588</v>
          </cell>
          <cell r="AI136">
            <v>451.23160132242594</v>
          </cell>
          <cell r="AJ136">
            <v>-273.17633927222118</v>
          </cell>
          <cell r="AK136">
            <v>-309.61031192671675</v>
          </cell>
          <cell r="AL136">
            <v>44.178295141698243</v>
          </cell>
          <cell r="AM136">
            <v>771.34997909165463</v>
          </cell>
          <cell r="AN136">
            <v>-209.11460288629979</v>
          </cell>
          <cell r="AO136">
            <v>216.59155491452424</v>
          </cell>
          <cell r="AP136">
            <v>115.52501771650657</v>
          </cell>
          <cell r="AQ136">
            <v>1038.6154513996673</v>
          </cell>
          <cell r="AR136">
            <v>-926.02920878193447</v>
          </cell>
          <cell r="AS136">
            <v>31.054857643639238</v>
          </cell>
          <cell r="AT136">
            <v>-403.67317290514012</v>
          </cell>
          <cell r="AU136">
            <v>251.53550507655268</v>
          </cell>
          <cell r="AV136">
            <v>312.43472234271491</v>
          </cell>
          <cell r="AW136">
            <v>-101.41005108320513</v>
          </cell>
          <cell r="AX136">
            <v>-739.68053123626021</v>
          </cell>
          <cell r="AZ136">
            <v>-93.656842837816058</v>
          </cell>
          <cell r="BA136">
            <v>-123.97625434335541</v>
          </cell>
          <cell r="BB136">
            <v>-76.417825926069611</v>
          </cell>
          <cell r="BC136">
            <v>-98.058660121738114</v>
          </cell>
          <cell r="BD136">
            <v>-95.234249705739956</v>
          </cell>
          <cell r="BE136">
            <v>-152.46600564724685</v>
          </cell>
          <cell r="BF136">
            <v>-120.79655779185242</v>
          </cell>
          <cell r="BG136">
            <v>-115.63666375411282</v>
          </cell>
          <cell r="BI136">
            <v>-321.76810317205536</v>
          </cell>
          <cell r="BJ136">
            <v>-383.14237232123395</v>
          </cell>
          <cell r="BK136">
            <v>68.089229001191995</v>
          </cell>
          <cell r="BL136">
            <v>-205.08711027102919</v>
          </cell>
          <cell r="BM136">
            <v>-514.69742219774594</v>
          </cell>
          <cell r="BN136">
            <v>-470.51912705604769</v>
          </cell>
          <cell r="BO136">
            <v>300.83085203560694</v>
          </cell>
          <cell r="BP136">
            <v>91.716249149307146</v>
          </cell>
          <cell r="BR136">
            <v>228.11126033423932</v>
          </cell>
          <cell r="BS136">
            <v>259.16611797787857</v>
          </cell>
          <cell r="BT136">
            <v>-144.50705492726161</v>
          </cell>
          <cell r="BU136">
            <v>107.02845014929107</v>
          </cell>
          <cell r="BV136">
            <v>419.46317249200598</v>
          </cell>
          <cell r="BW136">
            <v>318.05312140880085</v>
          </cell>
          <cell r="BX136">
            <v>-421.62740982745936</v>
          </cell>
          <cell r="BY136">
            <v>-207.35291290341996</v>
          </cell>
        </row>
        <row r="138">
          <cell r="L138" t="e">
            <v>#REF!</v>
          </cell>
          <cell r="M138" t="e">
            <v>#REF!</v>
          </cell>
          <cell r="N138" t="e">
            <v>#REF!</v>
          </cell>
          <cell r="Q138">
            <v>-0.79000766994919547</v>
          </cell>
          <cell r="R138">
            <v>-0.43049320683379838</v>
          </cell>
          <cell r="S138">
            <v>-0.48403066273858475</v>
          </cell>
          <cell r="T138">
            <v>-3.8852950773584048E-2</v>
          </cell>
          <cell r="U138">
            <v>-0.3206496208671315</v>
          </cell>
          <cell r="V138">
            <v>9.562612705269638E-2</v>
          </cell>
          <cell r="W138">
            <v>-0.65205444179038829</v>
          </cell>
          <cell r="X138">
            <v>-5.8027305690301609E-2</v>
          </cell>
          <cell r="Y138">
            <v>-0.48998102346839589</v>
          </cell>
          <cell r="Z138">
            <v>-0.56185284450601147</v>
          </cell>
          <cell r="AA138">
            <v>-4.2729845599122473</v>
          </cell>
          <cell r="AE138">
            <v>-0.53521054154452552</v>
          </cell>
          <cell r="AF138">
            <v>2.7754264239313552E-2</v>
          </cell>
          <cell r="AG138">
            <v>-1.1456093074019198</v>
          </cell>
          <cell r="AH138">
            <v>-0.35615567751754668</v>
          </cell>
          <cell r="AI138">
            <v>-0.52217327172586681</v>
          </cell>
          <cell r="AJ138">
            <v>-9.847940856806757E-2</v>
          </cell>
          <cell r="AK138">
            <v>-0.34687602043023491</v>
          </cell>
          <cell r="AL138">
            <v>-1.9635869476435593E-2</v>
          </cell>
          <cell r="AM138">
            <v>-0.67223226203119335</v>
          </cell>
          <cell r="AN138">
            <v>-8.2522905259526158E-2</v>
          </cell>
          <cell r="AO138">
            <v>-0.51089136392136736</v>
          </cell>
          <cell r="AP138">
            <v>2.5497384360563369E-2</v>
          </cell>
          <cell r="AQ138">
            <v>-6.0702067402903279E-2</v>
          </cell>
          <cell r="AR138">
            <v>0.35560163745272433</v>
          </cell>
          <cell r="AS138">
            <v>-7.4337529316251705E-2</v>
          </cell>
          <cell r="AT138">
            <v>3.8142608987282056E-2</v>
          </cell>
          <cell r="AU138">
            <v>5.9626457794483521E-2</v>
          </cell>
          <cell r="AV138">
            <v>-2.6226399563103409E-2</v>
          </cell>
          <cell r="AW138">
            <v>-0.11526199652913197</v>
          </cell>
          <cell r="AX138">
            <v>2.0177820240805056E-2</v>
          </cell>
          <cell r="AY138">
            <v>-0.55180097298288122</v>
          </cell>
          <cell r="AZ138">
            <v>-1.3492105135737171</v>
          </cell>
          <cell r="BA138">
            <v>-1.7829788804630282</v>
          </cell>
          <cell r="BB138">
            <v>-2.2703017157357848</v>
          </cell>
          <cell r="BC138">
            <v>-2.3135609162143322</v>
          </cell>
          <cell r="BD138">
            <v>-2.6367398101647255</v>
          </cell>
          <cell r="BE138">
            <v>-2.5440057309838138</v>
          </cell>
          <cell r="BF138">
            <v>-3.2038829918709091</v>
          </cell>
          <cell r="BG138">
            <v>-3.2619102975612089</v>
          </cell>
          <cell r="BH138">
            <v>-0.56135062059688057</v>
          </cell>
          <cell r="BI138">
            <v>-1.6530655847071318</v>
          </cell>
          <cell r="BJ138">
            <v>-2.0092212622246777</v>
          </cell>
          <cell r="BK138">
            <v>-2.5313945339505444</v>
          </cell>
          <cell r="BL138">
            <v>-2.629873942518612</v>
          </cell>
          <cell r="BM138">
            <v>-2.9767499629488472</v>
          </cell>
          <cell r="BN138">
            <v>-2.9963858324252834</v>
          </cell>
          <cell r="BO138">
            <v>-3.6686180944564768</v>
          </cell>
          <cell r="BP138">
            <v>-3.7511409997160028</v>
          </cell>
          <cell r="BQ138">
            <v>9.5496476139996216E-3</v>
          </cell>
          <cell r="BR138">
            <v>0.30385507113341426</v>
          </cell>
          <cell r="BS138">
            <v>0.2262423817616501</v>
          </cell>
          <cell r="BT138">
            <v>0.26109281821475877</v>
          </cell>
          <cell r="BU138">
            <v>0.31631302630427965</v>
          </cell>
          <cell r="BV138">
            <v>0.34001015278412228</v>
          </cell>
          <cell r="BW138">
            <v>0.45238010144146967</v>
          </cell>
          <cell r="BX138">
            <v>0.46473510258556772</v>
          </cell>
          <cell r="BY138">
            <v>0.48923070215479392</v>
          </cell>
          <cell r="BZ138">
            <v>-0.39553762640049328</v>
          </cell>
          <cell r="CA138">
            <v>-4.0176828879510539E-2</v>
          </cell>
          <cell r="CB138">
            <v>-0.71847181882567046</v>
          </cell>
          <cell r="CC138">
            <v>-1.3492105135737171</v>
          </cell>
          <cell r="CD138">
            <v>-1.1541862741056743</v>
          </cell>
          <cell r="CE138">
            <v>-0.19502423946804281</v>
          </cell>
        </row>
        <row r="139">
          <cell r="L139" t="e">
            <v>#REF!</v>
          </cell>
          <cell r="M139" t="e">
            <v>#REF!</v>
          </cell>
          <cell r="N139" t="e">
            <v>#REF!</v>
          </cell>
          <cell r="Q139">
            <v>-0.78861382354874565</v>
          </cell>
          <cell r="R139">
            <v>-0.428913514246622</v>
          </cell>
          <cell r="S139">
            <v>-0.48403066273858475</v>
          </cell>
          <cell r="T139">
            <v>0.45521913663916991</v>
          </cell>
          <cell r="U139">
            <v>-0.32058710341698765</v>
          </cell>
          <cell r="V139">
            <v>9.562612705269638E-2</v>
          </cell>
          <cell r="W139">
            <v>-0.65205444179038829</v>
          </cell>
          <cell r="X139">
            <v>-5.8027305690301609E-2</v>
          </cell>
          <cell r="Y139">
            <v>-0.48998102346839589</v>
          </cell>
          <cell r="Z139">
            <v>-0.56185284450601147</v>
          </cell>
          <cell r="AA139">
            <v>-3.623055930701176</v>
          </cell>
          <cell r="AE139">
            <v>-0.53521054154452552</v>
          </cell>
          <cell r="AF139">
            <v>0.17802058312874625</v>
          </cell>
          <cell r="AG139">
            <v>-1.1456093074019198</v>
          </cell>
          <cell r="AH139">
            <v>-0.35615567751754668</v>
          </cell>
          <cell r="AI139">
            <v>-0.52217327172586681</v>
          </cell>
          <cell r="AJ139">
            <v>-9.847940856806757E-2</v>
          </cell>
          <cell r="AK139">
            <v>0.15026252906350845</v>
          </cell>
          <cell r="AL139">
            <v>-1.9635869476435593E-2</v>
          </cell>
          <cell r="AM139">
            <v>-0.67223226203119335</v>
          </cell>
          <cell r="AN139">
            <v>-8.2522905259526158E-2</v>
          </cell>
          <cell r="AO139">
            <v>-0.51089136392136736</v>
          </cell>
          <cell r="AP139">
            <v>2.5497384360563369E-2</v>
          </cell>
          <cell r="AQ139">
            <v>-5.8147900931788565E-2</v>
          </cell>
          <cell r="AR139">
            <v>0.35699548385317414</v>
          </cell>
          <cell r="AS139">
            <v>-7.275783672907532E-2</v>
          </cell>
          <cell r="AT139">
            <v>3.8142608987282056E-2</v>
          </cell>
          <cell r="AU139">
            <v>0.55369854520723749</v>
          </cell>
          <cell r="AV139">
            <v>0.47084963248049611</v>
          </cell>
          <cell r="AW139">
            <v>-0.11526199652913197</v>
          </cell>
          <cell r="AX139">
            <v>2.0177820240805056E-2</v>
          </cell>
          <cell r="AY139">
            <v>-0.39898048762233385</v>
          </cell>
          <cell r="AZ139">
            <v>-1.1949961818127197</v>
          </cell>
          <cell r="BA139">
            <v>-1.6271848561148543</v>
          </cell>
          <cell r="BB139">
            <v>-2.1145076913876113</v>
          </cell>
          <cell r="BC139">
            <v>-1.6636948044534048</v>
          </cell>
          <cell r="BD139">
            <v>-1.9868111809536542</v>
          </cell>
          <cell r="BE139">
            <v>-1.8940771017727429</v>
          </cell>
          <cell r="BF139">
            <v>-2.5539543626598382</v>
          </cell>
          <cell r="BG139">
            <v>-2.6119816683501371</v>
          </cell>
          <cell r="BH139">
            <v>-0.41108430170744792</v>
          </cell>
          <cell r="BI139">
            <v>-1.5027992658176992</v>
          </cell>
          <cell r="BJ139">
            <v>-1.8589549433352448</v>
          </cell>
          <cell r="BK139">
            <v>-2.3811282150611115</v>
          </cell>
          <cell r="BL139">
            <v>-2.4796076236291791</v>
          </cell>
          <cell r="BM139">
            <v>-2.3293450945656708</v>
          </cell>
          <cell r="BN139">
            <v>-2.3489809640421075</v>
          </cell>
          <cell r="BO139">
            <v>-3.0212132260733009</v>
          </cell>
          <cell r="BP139">
            <v>-3.1037361313328269</v>
          </cell>
          <cell r="BQ139">
            <v>1.2103814085114352E-2</v>
          </cell>
          <cell r="BR139">
            <v>0.30780308400497874</v>
          </cell>
          <cell r="BS139">
            <v>0.23177008722039097</v>
          </cell>
          <cell r="BT139">
            <v>0.26662052367349964</v>
          </cell>
          <cell r="BU139">
            <v>0.81591281917577452</v>
          </cell>
          <cell r="BV139">
            <v>0.34253391361201752</v>
          </cell>
          <cell r="BW139">
            <v>0.45490386226936463</v>
          </cell>
          <cell r="BX139">
            <v>0.46725886341346268</v>
          </cell>
          <cell r="BY139">
            <v>0.49175446298268977</v>
          </cell>
          <cell r="BZ139">
            <v>-0.39553762640049328</v>
          </cell>
          <cell r="CA139">
            <v>-4.0176828879510539E-2</v>
          </cell>
          <cell r="CB139">
            <v>-0.71847181882567046</v>
          </cell>
          <cell r="CC139">
            <v>-1.1949961818127197</v>
          </cell>
          <cell r="CD139">
            <v>-1.1541862741056743</v>
          </cell>
          <cell r="CE139">
            <v>-4.0809907707045401E-2</v>
          </cell>
        </row>
        <row r="140">
          <cell r="AP140">
            <v>0</v>
          </cell>
          <cell r="AQ140">
            <v>0</v>
          </cell>
          <cell r="AR140">
            <v>0</v>
          </cell>
          <cell r="AS140">
            <v>0</v>
          </cell>
          <cell r="AT140">
            <v>0</v>
          </cell>
        </row>
        <row r="141">
          <cell r="N141">
            <v>35781.130642476855</v>
          </cell>
          <cell r="AP141">
            <v>0</v>
          </cell>
          <cell r="AQ141">
            <v>0</v>
          </cell>
          <cell r="AR141">
            <v>0</v>
          </cell>
          <cell r="AS141">
            <v>0</v>
          </cell>
          <cell r="AT141">
            <v>0</v>
          </cell>
        </row>
        <row r="142">
          <cell r="L142" t="e">
            <v>#REF!</v>
          </cell>
          <cell r="M142" t="e">
            <v>#REF!</v>
          </cell>
          <cell r="N142" t="e">
            <v>#REF!</v>
          </cell>
          <cell r="Q142">
            <v>76.535133318163403</v>
          </cell>
          <cell r="R142">
            <v>97.942742984624218</v>
          </cell>
          <cell r="S142">
            <v>53.422788509173181</v>
          </cell>
          <cell r="T142">
            <v>71.912813169509292</v>
          </cell>
          <cell r="U142">
            <v>70.55560521390862</v>
          </cell>
          <cell r="V142">
            <v>127.1873279736335</v>
          </cell>
          <cell r="W142">
            <v>94.59926169735175</v>
          </cell>
          <cell r="X142">
            <v>47.588840544149178</v>
          </cell>
          <cell r="Y142">
            <v>82.058772178296437</v>
          </cell>
          <cell r="Z142">
            <v>961.60703299351542</v>
          </cell>
          <cell r="AA142">
            <v>1106.5537343440355</v>
          </cell>
          <cell r="AE142">
            <v>253.7</v>
          </cell>
          <cell r="AF142">
            <v>1258.9000000000001</v>
          </cell>
          <cell r="AG142">
            <v>307.5</v>
          </cell>
          <cell r="AH142">
            <v>628.6</v>
          </cell>
          <cell r="AI142">
            <v>373.7</v>
          </cell>
          <cell r="AJ142">
            <v>374.7</v>
          </cell>
          <cell r="AP142">
            <v>-16.309425259404492</v>
          </cell>
          <cell r="AR142">
            <v>-230.96486668183661</v>
          </cell>
          <cell r="AS142">
            <v>-530.65725701537576</v>
          </cell>
          <cell r="AT142">
            <v>-320.2772114908268</v>
          </cell>
          <cell r="AY142">
            <v>197.42977902674491</v>
          </cell>
          <cell r="AZ142">
            <v>75.855150407826528</v>
          </cell>
          <cell r="BA142">
            <v>102.64996976197506</v>
          </cell>
          <cell r="BB142">
            <v>51.548641065530546</v>
          </cell>
          <cell r="BH142">
            <v>1303.4074836067064</v>
          </cell>
          <cell r="BI142">
            <v>321.76810317205559</v>
          </cell>
          <cell r="BJ142">
            <v>383.14237232123514</v>
          </cell>
          <cell r="BK142">
            <v>-68.089229001190233</v>
          </cell>
          <cell r="BZ142" t="e">
            <v>#REF!</v>
          </cell>
          <cell r="CA142" t="e">
            <v>#REF!</v>
          </cell>
          <cell r="CB142" t="e">
            <v>#REF!</v>
          </cell>
          <cell r="CC142">
            <v>75.855150407826528</v>
          </cell>
          <cell r="CD142" t="e">
            <v>#REF!</v>
          </cell>
        </row>
        <row r="143">
          <cell r="L143">
            <v>82.168000000000006</v>
          </cell>
          <cell r="N143">
            <v>82.168000000000006</v>
          </cell>
          <cell r="Q143">
            <v>152.01283043028573</v>
          </cell>
          <cell r="R143">
            <v>34.773126812437603</v>
          </cell>
          <cell r="S143">
            <v>66.4884524018901</v>
          </cell>
          <cell r="T143">
            <v>19.435201437592379</v>
          </cell>
          <cell r="U143">
            <v>33.044557190524358</v>
          </cell>
          <cell r="V143">
            <v>41.019891418236647</v>
          </cell>
          <cell r="W143">
            <v>42.606146909500019</v>
          </cell>
          <cell r="X143">
            <v>0</v>
          </cell>
          <cell r="Y143">
            <v>0</v>
          </cell>
          <cell r="AB143">
            <v>7.6353047354769915E-2</v>
          </cell>
          <cell r="AC143" t="str">
            <v/>
          </cell>
          <cell r="AD143">
            <v>7.6353047354769915E-2</v>
          </cell>
          <cell r="AE143">
            <v>80.968000000000018</v>
          </cell>
          <cell r="AF143">
            <v>226.39999999999998</v>
          </cell>
          <cell r="AG143">
            <v>643.80000000000007</v>
          </cell>
          <cell r="AH143">
            <v>268.2</v>
          </cell>
          <cell r="AI143">
            <v>165.3</v>
          </cell>
          <cell r="AJ143">
            <v>164.3</v>
          </cell>
          <cell r="AP143">
            <v>1.1970666666666574</v>
          </cell>
          <cell r="AR143">
            <v>-491.78716956971437</v>
          </cell>
          <cell r="AS143">
            <v>-233.42687318756239</v>
          </cell>
          <cell r="AT143">
            <v>-98.811547598109911</v>
          </cell>
          <cell r="AY143">
            <v>-72.329566940000092</v>
          </cell>
          <cell r="AZ143">
            <v>46.319894589999898</v>
          </cell>
          <cell r="BA143">
            <v>25.815792559999913</v>
          </cell>
          <cell r="BH143">
            <v>-545.96420000000012</v>
          </cell>
          <cell r="BI143">
            <v>-168.72200000000001</v>
          </cell>
          <cell r="BJ143">
            <v>-391.11059999999998</v>
          </cell>
          <cell r="BK143">
            <v>78.130235950914539</v>
          </cell>
          <cell r="BQ143">
            <v>473.63463306000006</v>
          </cell>
          <cell r="BR143">
            <v>215.04189458999991</v>
          </cell>
          <cell r="BS143">
            <v>416.9263925599999</v>
          </cell>
          <cell r="BZ143">
            <v>38.049000000000007</v>
          </cell>
          <cell r="CA143">
            <v>40.092517940000093</v>
          </cell>
          <cell r="CB143">
            <v>60.301548543399676</v>
          </cell>
          <cell r="CC143">
            <v>46.319894589999898</v>
          </cell>
          <cell r="CD143">
            <v>-35.185500000000047</v>
          </cell>
          <cell r="CE143">
            <v>81.505394589999952</v>
          </cell>
          <cell r="CF143">
            <v>231.64483832828816</v>
          </cell>
        </row>
        <row r="144">
          <cell r="L144">
            <v>57.8</v>
          </cell>
          <cell r="N144">
            <v>57.8</v>
          </cell>
          <cell r="Q144">
            <v>38.131343649426853</v>
          </cell>
          <cell r="R144">
            <v>32.850204666647272</v>
          </cell>
          <cell r="S144">
            <v>34.492764524568877</v>
          </cell>
          <cell r="T144">
            <v>30.836777536248412</v>
          </cell>
          <cell r="U144">
            <v>40.335458439382421</v>
          </cell>
          <cell r="V144">
            <v>28.935680613889957</v>
          </cell>
          <cell r="W144">
            <v>83.662562643246162</v>
          </cell>
          <cell r="X144">
            <v>52.748734581888783</v>
          </cell>
          <cell r="Y144">
            <v>52.748734581888783</v>
          </cell>
          <cell r="AA144">
            <v>512.93305881892422</v>
          </cell>
          <cell r="AB144">
            <v>5.3709547963996948E-2</v>
          </cell>
          <cell r="AC144" t="str">
            <v/>
          </cell>
          <cell r="AD144">
            <v>5.3709547963996948E-2</v>
          </cell>
          <cell r="AE144">
            <v>60.6</v>
          </cell>
          <cell r="AF144">
            <v>50.8</v>
          </cell>
          <cell r="AG144">
            <v>638.6</v>
          </cell>
          <cell r="AH144">
            <v>62.8</v>
          </cell>
          <cell r="AI144">
            <v>165.7</v>
          </cell>
          <cell r="AJ144">
            <v>166.7</v>
          </cell>
          <cell r="AP144">
            <v>0</v>
          </cell>
          <cell r="AQ144">
            <v>6.790797581736669</v>
          </cell>
          <cell r="AR144">
            <v>-600.46865635057316</v>
          </cell>
          <cell r="AS144">
            <v>-29.949795333352725</v>
          </cell>
          <cell r="AT144">
            <v>-131.2072354754311</v>
          </cell>
          <cell r="AY144">
            <v>22.476616515600668</v>
          </cell>
          <cell r="AZ144">
            <v>30.407488795600713</v>
          </cell>
          <cell r="BA144">
            <v>-247.67332709439859</v>
          </cell>
          <cell r="BH144">
            <v>-571.36779999999999</v>
          </cell>
          <cell r="BI144">
            <v>2.7899999999999991</v>
          </cell>
          <cell r="BJ144">
            <v>-378.46139999999997</v>
          </cell>
          <cell r="BK144">
            <v>237.14163595091455</v>
          </cell>
          <cell r="BQ144">
            <v>593.84441651560064</v>
          </cell>
          <cell r="BR144">
            <v>27.617488795600714</v>
          </cell>
          <cell r="BS144">
            <v>130.78807290560138</v>
          </cell>
          <cell r="BZ144">
            <v>39</v>
          </cell>
          <cell r="CA144">
            <v>57.800574999999995</v>
          </cell>
          <cell r="CB144">
            <v>13.047924379000294</v>
          </cell>
          <cell r="CC144">
            <v>30.407488795600713</v>
          </cell>
          <cell r="CD144">
            <v>31.245587999999653</v>
          </cell>
          <cell r="CE144">
            <v>-0.83809920439894015</v>
          </cell>
          <cell r="CF144">
            <v>-2.6822961513764731</v>
          </cell>
        </row>
        <row r="145">
          <cell r="AP145">
            <v>0</v>
          </cell>
          <cell r="AQ145">
            <v>0</v>
          </cell>
          <cell r="AR145">
            <v>0</v>
          </cell>
          <cell r="AS145">
            <v>0</v>
          </cell>
          <cell r="AT145">
            <v>0</v>
          </cell>
        </row>
        <row r="146">
          <cell r="Q146">
            <v>66.711860024399471</v>
          </cell>
          <cell r="R146">
            <v>96.791493494399347</v>
          </cell>
          <cell r="S146">
            <v>27.433528871040053</v>
          </cell>
          <cell r="T146">
            <v>22.233528871040054</v>
          </cell>
          <cell r="U146">
            <v>16.033528871040055</v>
          </cell>
          <cell r="V146">
            <v>8.8335288710400555</v>
          </cell>
          <cell r="AP146">
            <v>86.35228332999958</v>
          </cell>
          <cell r="AQ146">
            <v>187.00347658439969</v>
          </cell>
          <cell r="AR146">
            <v>66.711860024399471</v>
          </cell>
          <cell r="AS146">
            <v>96.791493494399347</v>
          </cell>
          <cell r="AT146">
            <v>27.433528871040053</v>
          </cell>
        </row>
        <row r="147">
          <cell r="Q147">
            <v>9.8232732937639327</v>
          </cell>
          <cell r="R147">
            <v>1.1512494902248704</v>
          </cell>
          <cell r="S147">
            <v>25.989259638133127</v>
          </cell>
          <cell r="T147">
            <v>49.679284298469241</v>
          </cell>
          <cell r="U147">
            <v>54.522076342868566</v>
          </cell>
          <cell r="V147">
            <v>118.35379910259344</v>
          </cell>
          <cell r="AP147">
            <v>151.03829141059592</v>
          </cell>
          <cell r="AQ147">
            <v>16.211476176744696</v>
          </cell>
          <cell r="AR147">
            <v>9.8232732937639327</v>
          </cell>
          <cell r="AS147">
            <v>1.1512494902248704</v>
          </cell>
          <cell r="AT147">
            <v>25.989259638133127</v>
          </cell>
        </row>
        <row r="148">
          <cell r="AP148">
            <v>0</v>
          </cell>
          <cell r="AQ148">
            <v>0</v>
          </cell>
          <cell r="AR148">
            <v>0</v>
          </cell>
          <cell r="AS148">
            <v>0</v>
          </cell>
          <cell r="AT148">
            <v>0</v>
          </cell>
        </row>
        <row r="149">
          <cell r="AP149">
            <v>0</v>
          </cell>
          <cell r="AQ149">
            <v>0</v>
          </cell>
          <cell r="AR149">
            <v>0</v>
          </cell>
          <cell r="AS149">
            <v>0</v>
          </cell>
          <cell r="AT149">
            <v>0</v>
          </cell>
        </row>
        <row r="150">
          <cell r="L150">
            <v>1118.2606389705827</v>
          </cell>
          <cell r="Q150">
            <v>1062.0999999999999</v>
          </cell>
          <cell r="R150">
            <v>1060.5999999999999</v>
          </cell>
          <cell r="S150">
            <v>1075.2</v>
          </cell>
          <cell r="T150">
            <v>0</v>
          </cell>
          <cell r="U150">
            <v>0</v>
          </cell>
          <cell r="AP150">
            <v>1027.0999999999999</v>
          </cell>
          <cell r="AQ150">
            <v>1074.2</v>
          </cell>
          <cell r="AR150">
            <v>1062.0999999999999</v>
          </cell>
          <cell r="AS150">
            <v>1060.5999999999999</v>
          </cell>
          <cell r="AT150">
            <v>1075.2</v>
          </cell>
        </row>
        <row r="151">
          <cell r="L151" t="e">
            <v>#REF!</v>
          </cell>
          <cell r="AE151">
            <v>-23.5</v>
          </cell>
          <cell r="AF151">
            <v>-23.5</v>
          </cell>
          <cell r="AG151">
            <v>23.5</v>
          </cell>
          <cell r="AH151">
            <v>23.5</v>
          </cell>
          <cell r="AP151">
            <v>23.5</v>
          </cell>
          <cell r="AQ151">
            <v>23.5</v>
          </cell>
          <cell r="AR151">
            <v>-23.5</v>
          </cell>
          <cell r="AS151">
            <v>-23.5</v>
          </cell>
          <cell r="AT151">
            <v>0</v>
          </cell>
        </row>
        <row r="152">
          <cell r="Q152">
            <v>54.716666666666669</v>
          </cell>
          <cell r="R152">
            <v>54.716666666666669</v>
          </cell>
          <cell r="S152">
            <v>54.716666666666669</v>
          </cell>
          <cell r="T152">
            <v>54.716666666666669</v>
          </cell>
          <cell r="U152">
            <v>54.716666666666669</v>
          </cell>
          <cell r="V152">
            <v>54.716666666666669</v>
          </cell>
          <cell r="W152">
            <v>54.716666666666669</v>
          </cell>
          <cell r="X152">
            <v>54.716666666666669</v>
          </cell>
          <cell r="Y152">
            <v>54.716666666666669</v>
          </cell>
          <cell r="Z152">
            <v>54.716666666666669</v>
          </cell>
          <cell r="AP152">
            <v>54.716666666666669</v>
          </cell>
          <cell r="AQ152">
            <v>54.716666666666669</v>
          </cell>
          <cell r="AR152">
            <v>54.716666666666669</v>
          </cell>
          <cell r="AS152">
            <v>54.716666666666669</v>
          </cell>
          <cell r="AT152">
            <v>54.716666666666669</v>
          </cell>
        </row>
        <row r="153">
          <cell r="Q153">
            <v>1.6583333333333332</v>
          </cell>
          <cell r="R153">
            <v>1.6583333333333332</v>
          </cell>
          <cell r="S153">
            <v>1.6583333333333332</v>
          </cell>
          <cell r="T153">
            <v>1.6583333333333332</v>
          </cell>
          <cell r="U153">
            <v>1.6583333333333332</v>
          </cell>
          <cell r="V153">
            <v>1.6583333333333332</v>
          </cell>
          <cell r="W153">
            <v>1.6583333333333332</v>
          </cell>
          <cell r="X153">
            <v>1.6583333333333332</v>
          </cell>
          <cell r="Y153">
            <v>1.6583333333333332</v>
          </cell>
          <cell r="Z153">
            <v>1.6583333333333332</v>
          </cell>
          <cell r="AP153">
            <v>1.6583333333333332</v>
          </cell>
          <cell r="AQ153">
            <v>1.6583333333333332</v>
          </cell>
          <cell r="AR153">
            <v>1.6583333333333332</v>
          </cell>
          <cell r="AS153">
            <v>1.6583333333333332</v>
          </cell>
          <cell r="AT153">
            <v>1.6583333333333332</v>
          </cell>
        </row>
        <row r="164">
          <cell r="L164" t="str">
            <v>TESORERIA</v>
          </cell>
          <cell r="M164" t="str">
            <v>RESTO</v>
          </cell>
          <cell r="N164" t="str">
            <v>TOTAL</v>
          </cell>
          <cell r="Q164" t="str">
            <v>Observ.</v>
          </cell>
          <cell r="R164" t="str">
            <v>Observ.</v>
          </cell>
          <cell r="S164" t="str">
            <v>Observ.</v>
          </cell>
          <cell r="T164" t="str">
            <v>Observ.</v>
          </cell>
          <cell r="U164" t="str">
            <v>Observ.</v>
          </cell>
          <cell r="V164" t="str">
            <v>Observ.</v>
          </cell>
          <cell r="W164" t="str">
            <v>Observ.</v>
          </cell>
          <cell r="X164" t="str">
            <v>Observ.</v>
          </cell>
          <cell r="Y164" t="str">
            <v>Observ.</v>
          </cell>
          <cell r="Z164" t="str">
            <v>Observ.</v>
          </cell>
          <cell r="AA164" t="str">
            <v xml:space="preserve">Total </v>
          </cell>
          <cell r="AB164" t="str">
            <v>% PIB</v>
          </cell>
          <cell r="AC164" t="str">
            <v>% PIB</v>
          </cell>
          <cell r="AD164" t="str">
            <v>% PIB</v>
          </cell>
          <cell r="AE164" t="str">
            <v>Progr.</v>
          </cell>
          <cell r="AF164" t="str">
            <v>Progr.</v>
          </cell>
          <cell r="AG164" t="str">
            <v>Progr.</v>
          </cell>
          <cell r="AH164" t="str">
            <v>Progr.</v>
          </cell>
          <cell r="AI164" t="str">
            <v>Progr.</v>
          </cell>
          <cell r="AJ164" t="str">
            <v>Progr.</v>
          </cell>
          <cell r="AK164" t="str">
            <v>Progr.</v>
          </cell>
          <cell r="AL164" t="str">
            <v>Progr.</v>
          </cell>
          <cell r="AM164" t="str">
            <v>Progr.</v>
          </cell>
          <cell r="AP164" t="str">
            <v>Observ.-Prog.</v>
          </cell>
          <cell r="AQ164" t="str">
            <v>Observ.-Prog.</v>
          </cell>
          <cell r="AR164" t="str">
            <v>Observ.-Prog.</v>
          </cell>
          <cell r="AS164" t="str">
            <v>Observ.-Prog.</v>
          </cell>
          <cell r="AT164" t="str">
            <v>Observ.-Prog.</v>
          </cell>
          <cell r="AU164" t="str">
            <v>Observ-Prog</v>
          </cell>
          <cell r="AV164" t="str">
            <v>Observ-Prog</v>
          </cell>
          <cell r="AW164" t="str">
            <v>Observ-Prog</v>
          </cell>
          <cell r="AY164" t="str">
            <v>Observ.</v>
          </cell>
          <cell r="AZ164" t="str">
            <v>Observ.</v>
          </cell>
          <cell r="BA164" t="str">
            <v>Observ.</v>
          </cell>
          <cell r="BB164" t="str">
            <v>Observ.</v>
          </cell>
          <cell r="BC164" t="str">
            <v>Observ.</v>
          </cell>
          <cell r="BD164" t="str">
            <v>Observ.</v>
          </cell>
          <cell r="BE164" t="str">
            <v>Observ.</v>
          </cell>
          <cell r="BH164" t="str">
            <v>Progr.</v>
          </cell>
          <cell r="BI164" t="str">
            <v>Progr.</v>
          </cell>
          <cell r="BJ164" t="str">
            <v>Progr.</v>
          </cell>
          <cell r="BK164" t="str">
            <v>Progr.</v>
          </cell>
          <cell r="BL164" t="str">
            <v>Progr.</v>
          </cell>
          <cell r="BM164" t="str">
            <v>Progr.</v>
          </cell>
          <cell r="BN164" t="str">
            <v>Progr.</v>
          </cell>
          <cell r="BQ164" t="str">
            <v>Observ-Progr</v>
          </cell>
          <cell r="BR164" t="str">
            <v>Observ-Progr</v>
          </cell>
          <cell r="BS164" t="str">
            <v>Observ-Progr</v>
          </cell>
          <cell r="BT164" t="str">
            <v>Observ-Progr</v>
          </cell>
          <cell r="BU164" t="str">
            <v>Observ-Progr</v>
          </cell>
          <cell r="BV164" t="str">
            <v>Observ-Progr</v>
          </cell>
          <cell r="BW164" t="str">
            <v>Observ-Progr</v>
          </cell>
          <cell r="BZ164" t="str">
            <v>% PIB Observ.</v>
          </cell>
          <cell r="CA164" t="str">
            <v>% PIB Progr</v>
          </cell>
        </row>
        <row r="165">
          <cell r="L165" t="str">
            <v>CSF</v>
          </cell>
          <cell r="M165" t="str">
            <v>SSF</v>
          </cell>
          <cell r="N165" t="str">
            <v>CSF+SSF</v>
          </cell>
          <cell r="Q165">
            <v>35490</v>
          </cell>
          <cell r="R165">
            <v>35521</v>
          </cell>
          <cell r="S165">
            <v>35551</v>
          </cell>
          <cell r="T165">
            <v>35582</v>
          </cell>
          <cell r="U165">
            <v>35612</v>
          </cell>
          <cell r="V165">
            <v>35643</v>
          </cell>
          <cell r="W165">
            <v>35674</v>
          </cell>
          <cell r="X165">
            <v>35704</v>
          </cell>
          <cell r="Y165">
            <v>35735</v>
          </cell>
          <cell r="Z165">
            <v>35765</v>
          </cell>
          <cell r="AA165">
            <v>1997</v>
          </cell>
          <cell r="AB165" t="str">
            <v>CSF</v>
          </cell>
          <cell r="AC165" t="str">
            <v>SSF</v>
          </cell>
          <cell r="AD165" t="str">
            <v>CSF+SSF</v>
          </cell>
          <cell r="AE165" t="str">
            <v>Ene</v>
          </cell>
          <cell r="AF165" t="str">
            <v>Feb</v>
          </cell>
          <cell r="AG165" t="str">
            <v>Mar</v>
          </cell>
          <cell r="AH165" t="str">
            <v>Abr</v>
          </cell>
          <cell r="AI165" t="str">
            <v>May</v>
          </cell>
          <cell r="AJ165" t="str">
            <v>Jun</v>
          </cell>
          <cell r="AK165" t="str">
            <v>Jul</v>
          </cell>
          <cell r="AL165" t="str">
            <v>Ago</v>
          </cell>
          <cell r="AM165" t="str">
            <v>Sep</v>
          </cell>
          <cell r="AP165" t="str">
            <v>Enero</v>
          </cell>
          <cell r="AQ165" t="str">
            <v>Febrero</v>
          </cell>
          <cell r="AR165" t="str">
            <v>Marzo</v>
          </cell>
          <cell r="AS165" t="str">
            <v>Abril</v>
          </cell>
          <cell r="AT165" t="str">
            <v>Mayo</v>
          </cell>
          <cell r="AU165" t="str">
            <v>Junio</v>
          </cell>
          <cell r="AV165" t="str">
            <v>Julio</v>
          </cell>
          <cell r="AW165" t="str">
            <v>Agosto</v>
          </cell>
          <cell r="AY165" t="str">
            <v>Ene-Feb</v>
          </cell>
          <cell r="AZ165" t="str">
            <v>Ene-Mar</v>
          </cell>
          <cell r="BA165" t="str">
            <v>Ene-Abr</v>
          </cell>
          <cell r="BB165" t="str">
            <v>Ene-May</v>
          </cell>
          <cell r="BC165" t="str">
            <v>Ene-Jun</v>
          </cell>
          <cell r="BD165" t="str">
            <v>Ene-Jul</v>
          </cell>
          <cell r="BE165" t="str">
            <v>Ene-Agos</v>
          </cell>
          <cell r="BH165" t="str">
            <v>Ene-Feb</v>
          </cell>
          <cell r="BI165" t="str">
            <v>Ene-Mar</v>
          </cell>
          <cell r="BJ165" t="str">
            <v>Ene-Abr</v>
          </cell>
          <cell r="BK165" t="str">
            <v>Ene-May</v>
          </cell>
          <cell r="BL165" t="str">
            <v>Ene-Jun</v>
          </cell>
          <cell r="BM165" t="str">
            <v>Ene-Jul</v>
          </cell>
          <cell r="BN165" t="str">
            <v>Ene-Agos</v>
          </cell>
          <cell r="BQ165" t="str">
            <v>Ene-Feb</v>
          </cell>
          <cell r="BR165" t="str">
            <v>Ene-Mar</v>
          </cell>
          <cell r="BS165" t="str">
            <v>Ene-Abr</v>
          </cell>
          <cell r="BT165" t="str">
            <v>Ene-May</v>
          </cell>
          <cell r="BU165" t="str">
            <v>Ene-Jun</v>
          </cell>
          <cell r="BV165" t="str">
            <v>Ene-Jul</v>
          </cell>
          <cell r="BW165" t="str">
            <v>Ene-Agos</v>
          </cell>
          <cell r="BZ165" t="str">
            <v>Ene-Jun</v>
          </cell>
          <cell r="CA165" t="str">
            <v>Ene-Jun</v>
          </cell>
        </row>
        <row r="166">
          <cell r="Q166">
            <v>1109.4225440623406</v>
          </cell>
          <cell r="R166">
            <v>1134.5557351198786</v>
          </cell>
          <cell r="S166">
            <v>1176.195992173285</v>
          </cell>
          <cell r="T166">
            <v>1370.897725629982</v>
          </cell>
          <cell r="U166">
            <v>1496.0323988665925</v>
          </cell>
          <cell r="V166">
            <v>1513.2518808554255</v>
          </cell>
          <cell r="W166">
            <v>1283.5524586979645</v>
          </cell>
          <cell r="X166">
            <v>1327.6792521698108</v>
          </cell>
          <cell r="Y166">
            <v>939.49260787227013</v>
          </cell>
          <cell r="Z166">
            <v>1423.5621228785751</v>
          </cell>
          <cell r="AA166">
            <v>13585.217358032784</v>
          </cell>
          <cell r="AB166">
            <v>12.086825027770352</v>
          </cell>
          <cell r="AC166" t="e">
            <v>#VALUE!</v>
          </cell>
          <cell r="AD166">
            <v>12.086825027770352</v>
          </cell>
          <cell r="AE166">
            <v>726.33585039237164</v>
          </cell>
          <cell r="AF166">
            <v>1438.1227019431008</v>
          </cell>
          <cell r="AG166">
            <v>1024.6103000000001</v>
          </cell>
          <cell r="AH166">
            <v>1219.2702560502198</v>
          </cell>
          <cell r="AI166">
            <v>1025.0579905407249</v>
          </cell>
          <cell r="AJ166">
            <v>1318.5125198987557</v>
          </cell>
          <cell r="AK166">
            <v>1386.8531636086091</v>
          </cell>
          <cell r="AL166">
            <v>1364.2976459563383</v>
          </cell>
          <cell r="AP166">
            <v>13.374136032745128</v>
          </cell>
          <cell r="AQ166">
            <v>-120.63932571623809</v>
          </cell>
          <cell r="AR166">
            <v>84.812244062340596</v>
          </cell>
          <cell r="AS166">
            <v>-84.714520930341223</v>
          </cell>
          <cell r="AT166">
            <v>151.13800163256019</v>
          </cell>
          <cell r="AU166">
            <v>52.385205731226279</v>
          </cell>
          <cell r="AV166">
            <v>109.17923525798346</v>
          </cell>
          <cell r="AW166">
            <v>148.95423489908717</v>
          </cell>
          <cell r="AY166">
            <v>2057.1933626519794</v>
          </cell>
          <cell r="AZ166">
            <v>3166.6159067143203</v>
          </cell>
          <cell r="BA166">
            <v>4301.1716418341994</v>
          </cell>
          <cell r="BB166">
            <v>5477.3676340074853</v>
          </cell>
          <cell r="BC166">
            <v>6848.2653596374657</v>
          </cell>
          <cell r="BD166">
            <v>8344.2977585040589</v>
          </cell>
          <cell r="BE166">
            <v>9857.549639359484</v>
          </cell>
          <cell r="BH166">
            <v>2106.4596832266393</v>
          </cell>
          <cell r="BI166">
            <v>3189.068852335472</v>
          </cell>
          <cell r="BJ166">
            <v>4408.3391083856923</v>
          </cell>
          <cell r="BK166">
            <v>5433.3970989264171</v>
          </cell>
          <cell r="BL166">
            <v>6751.9096188251733</v>
          </cell>
          <cell r="BM166">
            <v>8138.7627824337824</v>
          </cell>
          <cell r="BN166">
            <v>9503.0604283901212</v>
          </cell>
          <cell r="BQ166">
            <v>-49.266320574659602</v>
          </cell>
          <cell r="BR166">
            <v>-22.452945621152274</v>
          </cell>
          <cell r="BS166">
            <v>-107.16746655149332</v>
          </cell>
          <cell r="BT166">
            <v>43.970535081066949</v>
          </cell>
          <cell r="BU166">
            <v>96.355740812292964</v>
          </cell>
          <cell r="BV166">
            <v>205.53497607027657</v>
          </cell>
          <cell r="BW166">
            <v>354.48921096936283</v>
          </cell>
          <cell r="BZ166">
            <v>6.1338717767530824</v>
          </cell>
          <cell r="CA166">
            <v>6.047567621166456</v>
          </cell>
        </row>
        <row r="167">
          <cell r="Q167">
            <v>918.67541202805035</v>
          </cell>
          <cell r="R167">
            <v>1041.3214851985499</v>
          </cell>
          <cell r="S167">
            <v>1060.4619888837797</v>
          </cell>
          <cell r="T167">
            <v>1183.4589118603099</v>
          </cell>
          <cell r="U167">
            <v>1175.3498713699</v>
          </cell>
          <cell r="V167">
            <v>1300.8273561133799</v>
          </cell>
          <cell r="W167">
            <v>1030.2689678214899</v>
          </cell>
          <cell r="X167">
            <v>1285.17972252666</v>
          </cell>
          <cell r="Y167">
            <v>916.57072490871997</v>
          </cell>
          <cell r="Z167">
            <v>1367.4223958232524</v>
          </cell>
          <cell r="AA167">
            <v>13075.612779912504</v>
          </cell>
          <cell r="AB167">
            <v>11.611762310490025</v>
          </cell>
          <cell r="AC167" t="e">
            <v>#VALUE!</v>
          </cell>
          <cell r="AD167">
            <v>11.611762310490025</v>
          </cell>
          <cell r="AE167">
            <v>653.77829999999994</v>
          </cell>
          <cell r="AF167">
            <v>1354.6194</v>
          </cell>
          <cell r="AG167">
            <v>786.88030000000003</v>
          </cell>
          <cell r="AH167">
            <v>1121.4405222222222</v>
          </cell>
          <cell r="AI167">
            <v>935.23733791019799</v>
          </cell>
          <cell r="AJ167">
            <v>1193.5068379101976</v>
          </cell>
          <cell r="AK167">
            <v>1019.9875954975064</v>
          </cell>
          <cell r="AL167">
            <v>1247.3770828528786</v>
          </cell>
          <cell r="AP167">
            <v>-76.766353117949848</v>
          </cell>
          <cell r="AQ167">
            <v>-135.55540350363995</v>
          </cell>
          <cell r="AR167">
            <v>131.7951120280502</v>
          </cell>
          <cell r="AS167">
            <v>-80.119037023672178</v>
          </cell>
          <cell r="AT167">
            <v>125.22465097358187</v>
          </cell>
          <cell r="AU167">
            <v>-10.047926049887893</v>
          </cell>
          <cell r="AV167">
            <v>155.36227587239364</v>
          </cell>
          <cell r="AW167">
            <v>53.450273260501262</v>
          </cell>
          <cell r="AY167">
            <v>1796.0759433784101</v>
          </cell>
          <cell r="AZ167">
            <v>2714.7513554064603</v>
          </cell>
          <cell r="BA167">
            <v>3756.0728406050102</v>
          </cell>
          <cell r="BB167">
            <v>4816.5348294887908</v>
          </cell>
          <cell r="BC167">
            <v>5999.9937413490998</v>
          </cell>
          <cell r="BD167">
            <v>7175.3436127189998</v>
          </cell>
          <cell r="BE167">
            <v>8476.170968832379</v>
          </cell>
          <cell r="BH167">
            <v>2008.3977</v>
          </cell>
          <cell r="BI167">
            <v>2795.2779999999998</v>
          </cell>
          <cell r="BJ167">
            <v>3916.7185222222224</v>
          </cell>
          <cell r="BK167">
            <v>4851.9558601324197</v>
          </cell>
          <cell r="BL167">
            <v>6045.4626980426183</v>
          </cell>
          <cell r="BM167">
            <v>7065.4502935401251</v>
          </cell>
          <cell r="BN167">
            <v>8312.8273763930047</v>
          </cell>
          <cell r="BQ167">
            <v>-212.32175662158997</v>
          </cell>
          <cell r="BR167">
            <v>-80.526644593539771</v>
          </cell>
          <cell r="BS167">
            <v>-160.64568161721201</v>
          </cell>
          <cell r="BT167">
            <v>-35.421030643630175</v>
          </cell>
          <cell r="BU167">
            <v>-45.468956693518301</v>
          </cell>
          <cell r="BV167">
            <v>109.89331917887466</v>
          </cell>
          <cell r="BW167">
            <v>163.34359243937433</v>
          </cell>
          <cell r="BZ167">
            <v>5.3740896910432614</v>
          </cell>
          <cell r="CA167">
            <v>5.4148154420961596</v>
          </cell>
        </row>
        <row r="168">
          <cell r="Q168">
            <v>612.18613506100019</v>
          </cell>
          <cell r="R168">
            <v>752.90155518899996</v>
          </cell>
          <cell r="S168">
            <v>709.49727737799981</v>
          </cell>
          <cell r="T168">
            <v>851.27870428699998</v>
          </cell>
          <cell r="U168">
            <v>803.17442898100001</v>
          </cell>
          <cell r="V168">
            <v>972.70713087999991</v>
          </cell>
          <cell r="W168">
            <v>690.39096822800002</v>
          </cell>
          <cell r="X168">
            <v>919.5669539930002</v>
          </cell>
          <cell r="Y168">
            <v>560.75002455699996</v>
          </cell>
          <cell r="Z168">
            <v>976.01564914280027</v>
          </cell>
          <cell r="AA168">
            <v>9152.5181370445007</v>
          </cell>
          <cell r="AB168">
            <v>8.0643945886236565</v>
          </cell>
          <cell r="AC168" t="e">
            <v>#VALUE!</v>
          </cell>
          <cell r="AD168">
            <v>8.0643945886236565</v>
          </cell>
          <cell r="AE168">
            <v>372.33579999999995</v>
          </cell>
          <cell r="AF168">
            <v>1072.5493999999999</v>
          </cell>
          <cell r="AG168">
            <v>494.41030000000001</v>
          </cell>
          <cell r="AH168">
            <v>798.19579999999996</v>
          </cell>
          <cell r="AI168">
            <v>600.26139999999998</v>
          </cell>
          <cell r="AJ168">
            <v>857.12189999999987</v>
          </cell>
          <cell r="AK168">
            <v>668.19430000000011</v>
          </cell>
          <cell r="AL168">
            <v>897.23910000000001</v>
          </cell>
          <cell r="AP168">
            <v>-28.368856882299951</v>
          </cell>
          <cell r="AQ168">
            <v>-112.46703376999994</v>
          </cell>
          <cell r="AR168">
            <v>117.77583506100018</v>
          </cell>
          <cell r="AS168">
            <v>-45.294244810999999</v>
          </cell>
          <cell r="AT168">
            <v>109.23587737799983</v>
          </cell>
          <cell r="AU168">
            <v>-5.8431957129998864</v>
          </cell>
          <cell r="AV168">
            <v>134.98012898099989</v>
          </cell>
          <cell r="AW168">
            <v>75.468030879999901</v>
          </cell>
          <cell r="AY168">
            <v>1304.0493093476998</v>
          </cell>
          <cell r="AZ168">
            <v>1916.2354444087</v>
          </cell>
          <cell r="BA168">
            <v>2669.1369995977002</v>
          </cell>
          <cell r="BB168">
            <v>3378.6342769757002</v>
          </cell>
          <cell r="BC168">
            <v>4229.9129812626998</v>
          </cell>
          <cell r="BD168">
            <v>5033.0874102437001</v>
          </cell>
          <cell r="BE168">
            <v>6005.7945411236997</v>
          </cell>
          <cell r="BH168">
            <v>1444.8851999999999</v>
          </cell>
          <cell r="BI168">
            <v>1939.2954999999999</v>
          </cell>
          <cell r="BJ168">
            <v>2737.4913000000001</v>
          </cell>
          <cell r="BK168">
            <v>3337.7527</v>
          </cell>
          <cell r="BL168">
            <v>4194.8746000000001</v>
          </cell>
          <cell r="BM168">
            <v>4863.0688999999993</v>
          </cell>
          <cell r="BN168">
            <v>5760.3079999999991</v>
          </cell>
          <cell r="BQ168">
            <v>-140.83589065230001</v>
          </cell>
          <cell r="BR168">
            <v>-23.060055591299829</v>
          </cell>
          <cell r="BS168">
            <v>-68.354300402299941</v>
          </cell>
          <cell r="BT168">
            <v>40.881576975699772</v>
          </cell>
          <cell r="BU168">
            <v>35.038381262699659</v>
          </cell>
          <cell r="BV168">
            <v>170.0185102437008</v>
          </cell>
          <cell r="BW168">
            <v>245.48654112370059</v>
          </cell>
          <cell r="BZ168">
            <v>3.7886592430849206</v>
          </cell>
          <cell r="CA168">
            <v>3.7572759764263166</v>
          </cell>
        </row>
        <row r="169">
          <cell r="Q169">
            <v>547.25089320100017</v>
          </cell>
          <cell r="R169">
            <v>273.53488764100001</v>
          </cell>
          <cell r="S169">
            <v>633.26266243399982</v>
          </cell>
          <cell r="T169">
            <v>407.06395279499992</v>
          </cell>
          <cell r="U169">
            <v>716.37736025599997</v>
          </cell>
          <cell r="V169">
            <v>457.37705655100001</v>
          </cell>
          <cell r="W169">
            <v>587.30996725600005</v>
          </cell>
          <cell r="AE169">
            <v>300.03099999999995</v>
          </cell>
          <cell r="AF169">
            <v>412.96669999999995</v>
          </cell>
          <cell r="AG169">
            <v>411.47919999999999</v>
          </cell>
          <cell r="AH169">
            <v>256.96799999999996</v>
          </cell>
          <cell r="AI169">
            <v>517.72820000000002</v>
          </cell>
          <cell r="AJ169">
            <v>367.72089999999997</v>
          </cell>
          <cell r="AK169">
            <v>564.85660000000007</v>
          </cell>
          <cell r="AL169">
            <v>375.6336</v>
          </cell>
          <cell r="AP169">
            <v>-56.474356882299986</v>
          </cell>
          <cell r="AQ169">
            <v>-44.584800674999997</v>
          </cell>
          <cell r="AR169">
            <v>135.77169320100018</v>
          </cell>
          <cell r="AT169">
            <v>115.53446243399981</v>
          </cell>
          <cell r="AU169">
            <v>39.343052794999949</v>
          </cell>
          <cell r="AV169">
            <v>151.5207602559999</v>
          </cell>
          <cell r="AW169">
            <v>81.743456551000008</v>
          </cell>
          <cell r="AY169">
            <v>611.93854244269994</v>
          </cell>
          <cell r="AZ169">
            <v>1159.1894356437001</v>
          </cell>
          <cell r="BA169">
            <v>1432.7243232847002</v>
          </cell>
          <cell r="BB169">
            <v>2065.9869857187</v>
          </cell>
          <cell r="BC169">
            <v>2473.0509385136997</v>
          </cell>
          <cell r="BD169">
            <v>3189.4282987696997</v>
          </cell>
          <cell r="BE169">
            <v>3646.8053553206996</v>
          </cell>
          <cell r="BH169">
            <v>712.9976999999999</v>
          </cell>
          <cell r="BI169">
            <v>1124.4768999999999</v>
          </cell>
          <cell r="BJ169">
            <v>1381.4449</v>
          </cell>
          <cell r="BK169">
            <v>1899.1731</v>
          </cell>
          <cell r="BL169">
            <v>2266.8939999999998</v>
          </cell>
          <cell r="BM169">
            <v>2831.7505999999998</v>
          </cell>
          <cell r="BN169">
            <v>3207.3842</v>
          </cell>
          <cell r="BQ169">
            <v>-101.05915755729995</v>
          </cell>
          <cell r="BR169">
            <v>34.712535643700221</v>
          </cell>
          <cell r="BS169">
            <v>51.279423284700215</v>
          </cell>
          <cell r="BT169">
            <v>166.81388571870002</v>
          </cell>
          <cell r="BU169">
            <v>206.15693851369997</v>
          </cell>
          <cell r="BV169">
            <v>357.67769876969987</v>
          </cell>
          <cell r="BW169">
            <v>439.42115532069965</v>
          </cell>
          <cell r="BZ169">
            <v>2.2150685695720389</v>
          </cell>
          <cell r="CA169">
            <v>2.0304173972935824</v>
          </cell>
        </row>
        <row r="170">
          <cell r="Q170">
            <v>64.935241859999991</v>
          </cell>
          <cell r="R170">
            <v>479.36666754800001</v>
          </cell>
          <cell r="S170">
            <v>76.234614944000015</v>
          </cell>
          <cell r="T170">
            <v>444.214751492</v>
          </cell>
          <cell r="U170">
            <v>86.797068725000017</v>
          </cell>
          <cell r="V170">
            <v>515.3300743289999</v>
          </cell>
          <cell r="W170">
            <v>103.08100097199998</v>
          </cell>
          <cell r="AE170">
            <v>72.3048</v>
          </cell>
          <cell r="AF170">
            <v>659.58270000000005</v>
          </cell>
          <cell r="AG170">
            <v>82.931100000000001</v>
          </cell>
          <cell r="AH170">
            <v>541.2278</v>
          </cell>
          <cell r="AI170">
            <v>82.533199999999994</v>
          </cell>
          <cell r="AJ170">
            <v>489.40099999999995</v>
          </cell>
          <cell r="AK170">
            <v>103.3377</v>
          </cell>
          <cell r="AL170">
            <v>521.60550000000001</v>
          </cell>
          <cell r="AP170">
            <v>28.105500000000006</v>
          </cell>
          <cell r="AQ170">
            <v>-67.882233095000061</v>
          </cell>
          <cell r="AR170">
            <v>-17.99585814000001</v>
          </cell>
          <cell r="AT170">
            <v>-6.298585055999979</v>
          </cell>
          <cell r="AU170">
            <v>-45.186248507999949</v>
          </cell>
          <cell r="AV170">
            <v>-16.540631274999981</v>
          </cell>
          <cell r="AW170">
            <v>-6.2754256710001073</v>
          </cell>
          <cell r="AY170">
            <v>692.11076690499999</v>
          </cell>
          <cell r="AZ170">
            <v>757.04600876500001</v>
          </cell>
          <cell r="BA170">
            <v>1236.412676313</v>
          </cell>
          <cell r="BB170">
            <v>1312.647291257</v>
          </cell>
          <cell r="BC170">
            <v>1756.862042749</v>
          </cell>
          <cell r="BD170">
            <v>1843.6591114739999</v>
          </cell>
          <cell r="BE170">
            <v>2358.9891858029996</v>
          </cell>
          <cell r="BH170">
            <v>731.88750000000005</v>
          </cell>
          <cell r="BI170">
            <v>814.81860000000006</v>
          </cell>
          <cell r="BJ170">
            <v>1356.0464000000002</v>
          </cell>
          <cell r="BK170">
            <v>1438.5796000000003</v>
          </cell>
          <cell r="BL170">
            <v>1927.9806000000003</v>
          </cell>
          <cell r="BM170">
            <v>2031.3183000000004</v>
          </cell>
          <cell r="BN170">
            <v>2552.9238000000005</v>
          </cell>
          <cell r="BQ170">
            <v>-39.776733095000054</v>
          </cell>
          <cell r="BR170">
            <v>-57.77259123500005</v>
          </cell>
          <cell r="BS170">
            <v>-119.63372368700016</v>
          </cell>
          <cell r="BT170">
            <v>-125.93230874300025</v>
          </cell>
          <cell r="BU170">
            <v>-171.11855725100031</v>
          </cell>
          <cell r="BV170">
            <v>-187.65918852600043</v>
          </cell>
          <cell r="BW170">
            <v>-193.93461419700088</v>
          </cell>
          <cell r="BZ170">
            <v>1.573590673512882</v>
          </cell>
          <cell r="CA170">
            <v>1.726858579132734</v>
          </cell>
        </row>
        <row r="171">
          <cell r="Q171">
            <v>230.41582564200002</v>
          </cell>
          <cell r="R171">
            <v>208.70567652300002</v>
          </cell>
          <cell r="S171">
            <v>278.76066448540001</v>
          </cell>
          <cell r="T171">
            <v>262.92810880995995</v>
          </cell>
          <cell r="U171">
            <v>309.66857646900002</v>
          </cell>
          <cell r="V171">
            <v>275.746238785</v>
          </cell>
          <cell r="W171">
            <v>299.01292254214991</v>
          </cell>
          <cell r="X171">
            <v>317.95930432717</v>
          </cell>
          <cell r="Y171">
            <v>308.058088183</v>
          </cell>
          <cell r="Z171">
            <v>340.72488169626354</v>
          </cell>
          <cell r="AA171">
            <v>3197.1848572169438</v>
          </cell>
          <cell r="AB171">
            <v>2.7631307308090571</v>
          </cell>
          <cell r="AC171" t="e">
            <v>#VALUE!</v>
          </cell>
          <cell r="AD171">
            <v>2.7631307308090571</v>
          </cell>
          <cell r="AE171">
            <v>220</v>
          </cell>
          <cell r="AF171">
            <v>220</v>
          </cell>
          <cell r="AG171">
            <v>220</v>
          </cell>
          <cell r="AH171">
            <v>240</v>
          </cell>
          <cell r="AI171">
            <v>250</v>
          </cell>
          <cell r="AJ171">
            <v>250</v>
          </cell>
          <cell r="AK171">
            <v>267.2</v>
          </cell>
          <cell r="AL171">
            <v>267.5</v>
          </cell>
          <cell r="AP171">
            <v>-44.580802537000011</v>
          </cell>
          <cell r="AQ171">
            <v>-30.214627709000013</v>
          </cell>
          <cell r="AR171">
            <v>10.415825642000016</v>
          </cell>
          <cell r="AS171">
            <v>-31.294323476999978</v>
          </cell>
          <cell r="AT171">
            <v>28.760664485400014</v>
          </cell>
          <cell r="AU171">
            <v>12.928108809959951</v>
          </cell>
          <cell r="AV171">
            <v>42.468576469000027</v>
          </cell>
          <cell r="AW171">
            <v>8.2462387850000027</v>
          </cell>
          <cell r="AY171">
            <v>365.20456975399998</v>
          </cell>
          <cell r="AZ171">
            <v>595.62039539600005</v>
          </cell>
          <cell r="BA171">
            <v>804.32607191900001</v>
          </cell>
          <cell r="BB171">
            <v>1083.0867364044002</v>
          </cell>
          <cell r="BC171">
            <v>1346.0148452143601</v>
          </cell>
          <cell r="BD171">
            <v>1655.6834216833599</v>
          </cell>
          <cell r="BE171">
            <v>1931.42966046836</v>
          </cell>
          <cell r="BH171">
            <v>440.00000000000006</v>
          </cell>
          <cell r="BI171">
            <v>660</v>
          </cell>
          <cell r="BJ171">
            <v>900</v>
          </cell>
          <cell r="BK171">
            <v>1150</v>
          </cell>
          <cell r="BL171">
            <v>1400</v>
          </cell>
          <cell r="BM171">
            <v>1667.2</v>
          </cell>
          <cell r="BN171">
            <v>1934.7</v>
          </cell>
          <cell r="BQ171">
            <v>-74.79543024600008</v>
          </cell>
          <cell r="BR171">
            <v>-64.379604604000065</v>
          </cell>
          <cell r="BS171">
            <v>-95.673928080999985</v>
          </cell>
          <cell r="BT171">
            <v>-66.913263595599915</v>
          </cell>
          <cell r="BU171">
            <v>-53.985154785639963</v>
          </cell>
          <cell r="BV171">
            <v>-11.516578316640107</v>
          </cell>
          <cell r="BW171">
            <v>-3.2703395316400474</v>
          </cell>
          <cell r="BZ171">
            <v>1.2056020081832963</v>
          </cell>
          <cell r="CA171">
            <v>1.2539555692551199</v>
          </cell>
        </row>
        <row r="172">
          <cell r="Q172">
            <v>87.581100000000021</v>
          </cell>
          <cell r="R172">
            <v>75.481886342485012</v>
          </cell>
          <cell r="S172">
            <v>100.79985627792065</v>
          </cell>
          <cell r="T172">
            <v>96.822372804126232</v>
          </cell>
          <cell r="U172">
            <v>119.95336933611877</v>
          </cell>
          <cell r="V172">
            <v>106.80132008960814</v>
          </cell>
          <cell r="W172">
            <v>121.30396975051718</v>
          </cell>
          <cell r="X172">
            <v>123.15117546677656</v>
          </cell>
          <cell r="Y172">
            <v>120.73640728030996</v>
          </cell>
          <cell r="Z172">
            <v>131.96731670782302</v>
          </cell>
          <cell r="AA172">
            <v>1221.3033438096857</v>
          </cell>
          <cell r="AB172">
            <v>1.0069033117662627</v>
          </cell>
          <cell r="AC172" t="str">
            <v/>
          </cell>
          <cell r="AD172">
            <v>1.0069033117662627</v>
          </cell>
          <cell r="AE172">
            <v>79.530992176990523</v>
          </cell>
          <cell r="AF172">
            <v>79.5</v>
          </cell>
          <cell r="AG172">
            <v>79.5</v>
          </cell>
          <cell r="AH172">
            <v>86.8</v>
          </cell>
          <cell r="AI172">
            <v>90.4</v>
          </cell>
          <cell r="AJ172">
            <v>90.4</v>
          </cell>
          <cell r="AK172">
            <v>96.6</v>
          </cell>
          <cell r="AL172">
            <v>96.7</v>
          </cell>
          <cell r="AP172">
            <v>-17.211794713990507</v>
          </cell>
          <cell r="AQ172">
            <v>-5.1146277089999614</v>
          </cell>
          <cell r="AR172">
            <v>8.0811000000000206</v>
          </cell>
          <cell r="AS172">
            <v>-11.318113657514985</v>
          </cell>
          <cell r="AT172">
            <v>10.399856277920648</v>
          </cell>
          <cell r="AU172">
            <v>6.4223728041262262</v>
          </cell>
          <cell r="AV172">
            <v>23.353369336118774</v>
          </cell>
          <cell r="AW172">
            <v>10.101320089608137</v>
          </cell>
          <cell r="AY172">
            <v>136.70456975400006</v>
          </cell>
          <cell r="AZ172">
            <v>224.28566975400008</v>
          </cell>
          <cell r="BA172">
            <v>299.76755609648512</v>
          </cell>
          <cell r="BB172">
            <v>400.56741237440576</v>
          </cell>
          <cell r="BC172">
            <v>497.38978517853201</v>
          </cell>
          <cell r="BD172">
            <v>617.34315451465079</v>
          </cell>
          <cell r="BE172">
            <v>724.1444746042589</v>
          </cell>
          <cell r="BH172">
            <v>159.03099217699054</v>
          </cell>
          <cell r="BI172">
            <v>238.53099217699054</v>
          </cell>
          <cell r="BJ172">
            <v>325.33099217699055</v>
          </cell>
          <cell r="BK172">
            <v>415.73099217699053</v>
          </cell>
          <cell r="BL172">
            <v>506.1309921769905</v>
          </cell>
          <cell r="BM172">
            <v>602.73099217699053</v>
          </cell>
          <cell r="BN172">
            <v>699.43099217699057</v>
          </cell>
          <cell r="BQ172">
            <v>-22.326422422990476</v>
          </cell>
          <cell r="BR172">
            <v>-14.245322422990455</v>
          </cell>
          <cell r="BS172">
            <v>-25.563436080505426</v>
          </cell>
          <cell r="BT172">
            <v>-15.163579802584763</v>
          </cell>
          <cell r="BU172">
            <v>-8.7412069984584946</v>
          </cell>
          <cell r="BV172">
            <v>14.612162337660266</v>
          </cell>
          <cell r="BW172">
            <v>24.713482427268332</v>
          </cell>
          <cell r="BZ172">
            <v>0.44550335086801984</v>
          </cell>
          <cell r="CA172">
            <v>0.45333269743782617</v>
          </cell>
        </row>
        <row r="173">
          <cell r="Q173">
            <v>142.834725642</v>
          </cell>
          <cell r="R173">
            <v>133.22379018051501</v>
          </cell>
          <cell r="S173">
            <v>177.96080820747937</v>
          </cell>
          <cell r="T173">
            <v>166.10573600583371</v>
          </cell>
          <cell r="U173">
            <v>189.71520713288123</v>
          </cell>
          <cell r="V173">
            <v>168.94491869539186</v>
          </cell>
          <cell r="W173">
            <v>177.70895279163273</v>
          </cell>
          <cell r="X173">
            <v>194.80812886039345</v>
          </cell>
          <cell r="Y173">
            <v>187.32168090269005</v>
          </cell>
          <cell r="Z173">
            <v>208.75756498844049</v>
          </cell>
          <cell r="AA173">
            <v>1975.8815134072579</v>
          </cell>
          <cell r="AB173">
            <v>1.7562274190427944</v>
          </cell>
          <cell r="AC173" t="str">
            <v/>
          </cell>
          <cell r="AD173">
            <v>1.7562274190427944</v>
          </cell>
          <cell r="AE173">
            <v>140.46900782300949</v>
          </cell>
          <cell r="AF173">
            <v>140.5</v>
          </cell>
          <cell r="AG173">
            <v>140.5</v>
          </cell>
          <cell r="AH173">
            <v>153.19999999999999</v>
          </cell>
          <cell r="AI173">
            <v>159.6</v>
          </cell>
          <cell r="AJ173">
            <v>159.6</v>
          </cell>
          <cell r="AK173">
            <v>170.6</v>
          </cell>
          <cell r="AL173">
            <v>170.8</v>
          </cell>
          <cell r="AP173">
            <v>-27.369007823009511</v>
          </cell>
          <cell r="AQ173">
            <v>-25.100000000000065</v>
          </cell>
          <cell r="AR173">
            <v>2.3347256419999951</v>
          </cell>
          <cell r="AS173">
            <v>-19.976209819484978</v>
          </cell>
          <cell r="AT173">
            <v>18.36080820747938</v>
          </cell>
          <cell r="AU173">
            <v>6.505736005833711</v>
          </cell>
          <cell r="AV173">
            <v>19.115207132881238</v>
          </cell>
          <cell r="AW173">
            <v>-1.8550813046081487</v>
          </cell>
          <cell r="AY173">
            <v>228.49999999999991</v>
          </cell>
          <cell r="AZ173">
            <v>371.33472564199991</v>
          </cell>
          <cell r="BA173">
            <v>504.55851582251489</v>
          </cell>
          <cell r="BB173">
            <v>682.51932402999432</v>
          </cell>
          <cell r="BC173">
            <v>848.62506003582803</v>
          </cell>
          <cell r="BD173">
            <v>1038.3402671687093</v>
          </cell>
          <cell r="BE173">
            <v>1207.2851858641011</v>
          </cell>
          <cell r="BH173">
            <v>280.96900782300952</v>
          </cell>
          <cell r="BI173">
            <v>421.46900782300952</v>
          </cell>
          <cell r="BJ173">
            <v>574.66900782300945</v>
          </cell>
          <cell r="BK173">
            <v>734.26900782300947</v>
          </cell>
          <cell r="BL173">
            <v>893.8690078230095</v>
          </cell>
          <cell r="BM173">
            <v>1064.4690078230094</v>
          </cell>
          <cell r="BN173">
            <v>1235.2690078230094</v>
          </cell>
          <cell r="BQ173">
            <v>-52.469007823009605</v>
          </cell>
          <cell r="BR173">
            <v>-50.13428218100961</v>
          </cell>
          <cell r="BS173">
            <v>-70.11049200049456</v>
          </cell>
          <cell r="BT173">
            <v>-51.749683793015151</v>
          </cell>
          <cell r="BU173">
            <v>-45.243947787181469</v>
          </cell>
          <cell r="BV173">
            <v>-26.128740654300145</v>
          </cell>
          <cell r="BW173">
            <v>-27.983821958908266</v>
          </cell>
          <cell r="BZ173">
            <v>0.76009865731527637</v>
          </cell>
          <cell r="CA173">
            <v>0.80062287181729352</v>
          </cell>
        </row>
        <row r="174">
          <cell r="Q174">
            <v>48.755678719580004</v>
          </cell>
          <cell r="R174">
            <v>61.927547688800004</v>
          </cell>
          <cell r="S174">
            <v>56.177978153059996</v>
          </cell>
          <cell r="T174">
            <v>65.378911245259999</v>
          </cell>
          <cell r="U174">
            <v>60.214436816019997</v>
          </cell>
          <cell r="V174">
            <v>49.163226856559994</v>
          </cell>
          <cell r="W174">
            <v>38.87063087264</v>
          </cell>
          <cell r="X174">
            <v>45.708496023000002</v>
          </cell>
          <cell r="Y174">
            <v>45.870645472</v>
          </cell>
          <cell r="Z174">
            <v>50.682198984188432</v>
          </cell>
          <cell r="AA174">
            <v>634.42619069857847</v>
          </cell>
          <cell r="AB174">
            <v>0.73449525917993053</v>
          </cell>
          <cell r="AC174" t="str">
            <v/>
          </cell>
          <cell r="AD174">
            <v>0.73449525917993053</v>
          </cell>
          <cell r="AE174">
            <v>60.442500000000003</v>
          </cell>
          <cell r="AF174">
            <v>60.4</v>
          </cell>
          <cell r="AG174">
            <v>60.4</v>
          </cell>
          <cell r="AH174">
            <v>67.674722222222201</v>
          </cell>
          <cell r="AI174">
            <v>68.014937910197958</v>
          </cell>
          <cell r="AJ174">
            <v>68.014937910197958</v>
          </cell>
          <cell r="AK174">
            <v>67.71493791019796</v>
          </cell>
          <cell r="AL174">
            <v>67.989937910197952</v>
          </cell>
          <cell r="AP174">
            <v>-4.2526461975098897</v>
          </cell>
          <cell r="AQ174">
            <v>-4.913413935020003</v>
          </cell>
          <cell r="AR174">
            <v>-11.644321280419994</v>
          </cell>
          <cell r="AS174">
            <v>-5.7471745334221964</v>
          </cell>
          <cell r="AT174">
            <v>-11.836959757137961</v>
          </cell>
          <cell r="AU174">
            <v>-2.6360266649379582</v>
          </cell>
          <cell r="AV174">
            <v>-7.5005010941779631</v>
          </cell>
          <cell r="AW174">
            <v>-18.826711053637958</v>
          </cell>
          <cell r="AY174">
            <v>111.67643986747011</v>
          </cell>
          <cell r="AZ174">
            <v>160.43211858705013</v>
          </cell>
          <cell r="BA174">
            <v>222.35966627585015</v>
          </cell>
          <cell r="BB174">
            <v>278.53764442891014</v>
          </cell>
          <cell r="BC174">
            <v>343.91655567417013</v>
          </cell>
          <cell r="BD174">
            <v>404.13099249019012</v>
          </cell>
          <cell r="BE174">
            <v>453.29421934675014</v>
          </cell>
          <cell r="BH174">
            <v>120.8425</v>
          </cell>
          <cell r="BI174">
            <v>181.24250000000001</v>
          </cell>
          <cell r="BJ174">
            <v>248.91722222222222</v>
          </cell>
          <cell r="BK174">
            <v>316.93216013242017</v>
          </cell>
          <cell r="BL174">
            <v>384.94709804261811</v>
          </cell>
          <cell r="BM174">
            <v>452.66203595281604</v>
          </cell>
          <cell r="BN174">
            <v>520.65197386301395</v>
          </cell>
          <cell r="BQ174">
            <v>-9.1660601325298927</v>
          </cell>
          <cell r="BR174">
            <v>-20.81038141294988</v>
          </cell>
          <cell r="BS174">
            <v>-26.557555946372077</v>
          </cell>
          <cell r="BT174">
            <v>-38.394515703510024</v>
          </cell>
          <cell r="BU174">
            <v>-41.030542368447982</v>
          </cell>
          <cell r="BV174">
            <v>-48.531043462625917</v>
          </cell>
          <cell r="BW174">
            <v>-67.35775451626381</v>
          </cell>
          <cell r="BZ174">
            <v>0.30804005739047435</v>
          </cell>
          <cell r="CA174">
            <v>0.34479039818509827</v>
          </cell>
        </row>
        <row r="175">
          <cell r="Q175">
            <v>27.317772605470001</v>
          </cell>
          <cell r="R175">
            <v>17.786705797749999</v>
          </cell>
          <cell r="S175">
            <v>16.026068867319999</v>
          </cell>
          <cell r="T175">
            <v>3.8731875180900004</v>
          </cell>
          <cell r="U175">
            <v>2.29242910388</v>
          </cell>
          <cell r="V175">
            <v>3.2107595918200014</v>
          </cell>
          <cell r="W175">
            <v>1.9944461786999981</v>
          </cell>
          <cell r="X175">
            <v>1.9449681834900003</v>
          </cell>
          <cell r="Y175">
            <v>1.891966696719994</v>
          </cell>
          <cell r="Z175">
            <v>-3.3399999999872421E-4</v>
          </cell>
          <cell r="AA175">
            <v>91.483594952479976</v>
          </cell>
          <cell r="AB175">
            <v>4.974173187738333E-2</v>
          </cell>
          <cell r="AC175" t="e">
            <v>#VALUE!</v>
          </cell>
          <cell r="AD175">
            <v>4.974173187738333E-2</v>
          </cell>
          <cell r="AE175">
            <v>1</v>
          </cell>
          <cell r="AF175">
            <v>1.67</v>
          </cell>
          <cell r="AG175">
            <v>12.07</v>
          </cell>
          <cell r="AH175">
            <v>15.57</v>
          </cell>
          <cell r="AI175">
            <v>16.960999999999999</v>
          </cell>
          <cell r="AJ175">
            <v>18.37</v>
          </cell>
          <cell r="AK175">
            <v>16.878357587308294</v>
          </cell>
          <cell r="AL175">
            <v>14.648044942680542</v>
          </cell>
          <cell r="AP175">
            <v>0.43595249885999721</v>
          </cell>
          <cell r="AQ175">
            <v>12.039671910380003</v>
          </cell>
          <cell r="AR175">
            <v>15.247772605470001</v>
          </cell>
          <cell r="AS175">
            <v>2.2167057977499987</v>
          </cell>
          <cell r="AT175">
            <v>-0.93493113267999917</v>
          </cell>
          <cell r="AU175">
            <v>-14.49681248191</v>
          </cell>
          <cell r="AV175">
            <v>-14.585928483428294</v>
          </cell>
          <cell r="AW175">
            <v>-11.437285350860542</v>
          </cell>
          <cell r="AY175">
            <v>15.14562440924</v>
          </cell>
          <cell r="AZ175">
            <v>42.463397014709997</v>
          </cell>
          <cell r="BA175">
            <v>60.25010281246</v>
          </cell>
          <cell r="BB175">
            <v>76.276171679779992</v>
          </cell>
          <cell r="BC175">
            <v>80.149359197869998</v>
          </cell>
          <cell r="BD175">
            <v>82.441788301749995</v>
          </cell>
          <cell r="BE175">
            <v>85.652547893570002</v>
          </cell>
          <cell r="BH175">
            <v>2.67</v>
          </cell>
          <cell r="BI175">
            <v>14.74</v>
          </cell>
          <cell r="BJ175">
            <v>30.310000000000002</v>
          </cell>
          <cell r="BK175">
            <v>47.271000000000001</v>
          </cell>
          <cell r="BL175">
            <v>65.641000000000005</v>
          </cell>
          <cell r="BM175">
            <v>82.519357587308292</v>
          </cell>
          <cell r="BN175">
            <v>97.167402529988834</v>
          </cell>
          <cell r="BQ175">
            <v>12.47562440924</v>
          </cell>
          <cell r="BR175">
            <v>27.723397014709995</v>
          </cell>
          <cell r="BS175">
            <v>29.940102812459994</v>
          </cell>
          <cell r="BT175">
            <v>29.005171679779991</v>
          </cell>
          <cell r="BU175">
            <v>14.508359197869986</v>
          </cell>
          <cell r="BV175">
            <v>-7.7569285558297452E-2</v>
          </cell>
          <cell r="BW175">
            <v>-11.514854636418832</v>
          </cell>
          <cell r="BZ175">
            <v>7.1788382384570096E-2</v>
          </cell>
          <cell r="CA175">
            <v>5.8793498229625228E-2</v>
          </cell>
        </row>
        <row r="176">
          <cell r="Q176">
            <v>35.094471764150001</v>
          </cell>
          <cell r="R176">
            <v>35.14656270695</v>
          </cell>
          <cell r="S176">
            <v>29.180717095710001</v>
          </cell>
          <cell r="T176">
            <v>31.759557582969997</v>
          </cell>
          <cell r="U176">
            <v>26.012900590530002</v>
          </cell>
          <cell r="V176">
            <v>28.550581069179998</v>
          </cell>
          <cell r="W176">
            <v>29.711161721580002</v>
          </cell>
          <cell r="X176">
            <v>29.501093009100003</v>
          </cell>
          <cell r="Y176">
            <v>16.481547299860001</v>
          </cell>
          <cell r="Z176">
            <v>54.881081765122673</v>
          </cell>
          <cell r="AA176">
            <v>407.57820320317273</v>
          </cell>
          <cell r="AB176">
            <v>0.3597821418076097</v>
          </cell>
          <cell r="AC176" t="e">
            <v>#VALUE!</v>
          </cell>
          <cell r="AD176">
            <v>0.3597821418076097</v>
          </cell>
          <cell r="AE176">
            <v>29.198869108833222</v>
          </cell>
          <cell r="AF176">
            <v>28.8</v>
          </cell>
          <cell r="AG176">
            <v>31.3</v>
          </cell>
          <cell r="AH176">
            <v>27.130943987791408</v>
          </cell>
          <cell r="AI176">
            <v>30.444743670989389</v>
          </cell>
          <cell r="AJ176">
            <v>28.784751352719894</v>
          </cell>
          <cell r="AK176">
            <v>31.027972937692418</v>
          </cell>
          <cell r="AL176">
            <v>31.818774086118658</v>
          </cell>
          <cell r="AP176">
            <v>6.3351749155667676</v>
          </cell>
          <cell r="AQ176">
            <v>26.924484573620003</v>
          </cell>
          <cell r="AR176">
            <v>3.7944717641499999</v>
          </cell>
          <cell r="AS176">
            <v>8.0156187191585921</v>
          </cell>
          <cell r="AT176">
            <v>-1.264026575279388</v>
          </cell>
          <cell r="AU176">
            <v>2.9748062302501026</v>
          </cell>
          <cell r="AV176">
            <v>-5.0150723471624161</v>
          </cell>
          <cell r="AW176">
            <v>-3.2681930169386604</v>
          </cell>
          <cell r="AY176">
            <v>91.258528598020007</v>
          </cell>
          <cell r="AZ176">
            <v>126.35300036216999</v>
          </cell>
          <cell r="BA176">
            <v>161.49956306912</v>
          </cell>
          <cell r="BB176">
            <v>190.68028016483001</v>
          </cell>
          <cell r="BC176">
            <v>222.43983774780003</v>
          </cell>
          <cell r="BD176">
            <v>248.45273833832999</v>
          </cell>
          <cell r="BE176">
            <v>277.00331940750999</v>
          </cell>
          <cell r="BH176">
            <v>0</v>
          </cell>
          <cell r="BI176">
            <v>89.29886910883323</v>
          </cell>
          <cell r="BJ176">
            <v>116.42981309662463</v>
          </cell>
          <cell r="BK176">
            <v>146.87455676761402</v>
          </cell>
          <cell r="BL176">
            <v>175.65930812033389</v>
          </cell>
          <cell r="BM176">
            <v>206.68728105802634</v>
          </cell>
          <cell r="BN176">
            <v>238.50605514414499</v>
          </cell>
          <cell r="BQ176">
            <v>91.258528598020007</v>
          </cell>
          <cell r="BR176">
            <v>37.05413125333677</v>
          </cell>
          <cell r="BS176">
            <v>45.069749972495373</v>
          </cell>
          <cell r="BT176">
            <v>43.805723397215992</v>
          </cell>
          <cell r="BU176">
            <v>46.780529627466109</v>
          </cell>
          <cell r="BV176">
            <v>41.76545728030365</v>
          </cell>
          <cell r="BW176">
            <v>38.497264263364997</v>
          </cell>
          <cell r="BZ176">
            <v>0.19923548097718502</v>
          </cell>
          <cell r="CA176">
            <v>0.15733497693499554</v>
          </cell>
        </row>
        <row r="177">
          <cell r="Q177">
            <v>22.9039720259</v>
          </cell>
          <cell r="R177">
            <v>25.0219692973</v>
          </cell>
          <cell r="S177">
            <v>21.114573597</v>
          </cell>
          <cell r="T177">
            <v>20.491068197259999</v>
          </cell>
          <cell r="U177">
            <v>18.793302554930001</v>
          </cell>
          <cell r="V177">
            <v>20.673125192440001</v>
          </cell>
          <cell r="W177">
            <v>21.788663787080001</v>
          </cell>
          <cell r="X177">
            <v>23.042011341850003</v>
          </cell>
          <cell r="Y177">
            <v>10.44828470136</v>
          </cell>
          <cell r="Z177">
            <v>47.236163857398111</v>
          </cell>
          <cell r="AA177">
            <v>281.14187918592813</v>
          </cell>
          <cell r="AB177">
            <v>0.31086268638339837</v>
          </cell>
          <cell r="AC177" t="str">
            <v/>
          </cell>
          <cell r="AD177">
            <v>0.31086268638339837</v>
          </cell>
          <cell r="AE177">
            <v>22</v>
          </cell>
          <cell r="AF177">
            <v>22</v>
          </cell>
          <cell r="AG177">
            <v>22</v>
          </cell>
          <cell r="AH177">
            <v>23</v>
          </cell>
          <cell r="AI177">
            <v>26.92924657871426</v>
          </cell>
          <cell r="AJ177">
            <v>26.854149303394049</v>
          </cell>
          <cell r="AK177">
            <v>26.855239421008392</v>
          </cell>
          <cell r="AL177">
            <v>29.218076853133606</v>
          </cell>
          <cell r="AP177">
            <v>0.79152494470999457</v>
          </cell>
          <cell r="AQ177">
            <v>4.8372196887000065</v>
          </cell>
          <cell r="AR177">
            <v>0.90397202589999992</v>
          </cell>
          <cell r="AS177">
            <v>2.0219692973000001</v>
          </cell>
          <cell r="AT177">
            <v>-5.8146729817142599</v>
          </cell>
          <cell r="AU177">
            <v>-6.3630811061340502</v>
          </cell>
          <cell r="AV177">
            <v>-8.0619368660783906</v>
          </cell>
          <cell r="AW177">
            <v>-8.5449516606936058</v>
          </cell>
          <cell r="AY177">
            <v>49.628744633410001</v>
          </cell>
          <cell r="AZ177">
            <v>72.532716659309997</v>
          </cell>
          <cell r="BA177">
            <v>97.554685956610001</v>
          </cell>
          <cell r="BB177">
            <v>118.66925955361</v>
          </cell>
          <cell r="BC177">
            <v>139.16032775087001</v>
          </cell>
          <cell r="BD177">
            <v>157.9536303058</v>
          </cell>
          <cell r="BE177">
            <v>178.62675549824002</v>
          </cell>
          <cell r="BH177">
            <v>0</v>
          </cell>
          <cell r="BI177">
            <v>66</v>
          </cell>
          <cell r="BJ177">
            <v>89</v>
          </cell>
          <cell r="BK177">
            <v>115.92924657871426</v>
          </cell>
          <cell r="BL177">
            <v>142.78339588210829</v>
          </cell>
          <cell r="BM177">
            <v>169.6386353031167</v>
          </cell>
          <cell r="BN177">
            <v>198.8567121562503</v>
          </cell>
          <cell r="BQ177">
            <v>49.628744633410001</v>
          </cell>
          <cell r="BR177">
            <v>6.5327166593099975</v>
          </cell>
          <cell r="BS177">
            <v>8.5546859566100011</v>
          </cell>
          <cell r="BT177">
            <v>2.7400129748957482</v>
          </cell>
          <cell r="BU177">
            <v>-3.6230681312382842</v>
          </cell>
          <cell r="BV177">
            <v>-11.685004997316696</v>
          </cell>
          <cell r="BW177">
            <v>-20.229956658010281</v>
          </cell>
          <cell r="BZ177">
            <v>0.12464347714469375</v>
          </cell>
          <cell r="CA177">
            <v>0.12788859604537731</v>
          </cell>
        </row>
        <row r="178">
          <cell r="Q178">
            <v>12.190499738249997</v>
          </cell>
          <cell r="R178">
            <v>10.12459340965</v>
          </cell>
          <cell r="S178">
            <v>8.0661434987099998</v>
          </cell>
          <cell r="T178">
            <v>11.26848938571</v>
          </cell>
          <cell r="U178">
            <v>7.2195980356000007</v>
          </cell>
          <cell r="V178">
            <v>7.8774558767399991</v>
          </cell>
          <cell r="W178">
            <v>7.9224979344999999</v>
          </cell>
          <cell r="X178">
            <v>6.4590816672500004</v>
          </cell>
          <cell r="Y178">
            <v>6.0332625985000004</v>
          </cell>
          <cell r="Z178">
            <v>7.6449179077245635</v>
          </cell>
          <cell r="AA178">
            <v>126.43632401724457</v>
          </cell>
          <cell r="AB178">
            <v>4.8919455424211347E-2</v>
          </cell>
          <cell r="AC178" t="str">
            <v/>
          </cell>
          <cell r="AD178">
            <v>4.8919455424211347E-2</v>
          </cell>
          <cell r="AE178">
            <v>7.19886910883322</v>
          </cell>
          <cell r="AF178">
            <v>6.8000000000000007</v>
          </cell>
          <cell r="AG178">
            <v>9.3000000000000007</v>
          </cell>
          <cell r="AH178">
            <v>4.1309439877914071</v>
          </cell>
          <cell r="AI178">
            <v>3.5154970922751296</v>
          </cell>
          <cell r="AJ178">
            <v>1.9306020493258464</v>
          </cell>
          <cell r="AK178">
            <v>4.1727335166840263</v>
          </cell>
          <cell r="AL178">
            <v>2.6006972329850533</v>
          </cell>
          <cell r="AP178">
            <v>5.5436499708567784</v>
          </cell>
          <cell r="AQ178">
            <v>22.087264884919996</v>
          </cell>
          <cell r="AR178">
            <v>2.8904997382499964</v>
          </cell>
          <cell r="AS178">
            <v>5.993649421858593</v>
          </cell>
          <cell r="AT178">
            <v>4.5506464064348702</v>
          </cell>
          <cell r="AU178">
            <v>9.3378873363841528</v>
          </cell>
          <cell r="AV178">
            <v>3.0468645189159744</v>
          </cell>
          <cell r="AW178">
            <v>5.2767586437549454</v>
          </cell>
          <cell r="AY178">
            <v>41.629783964609999</v>
          </cell>
          <cell r="AZ178">
            <v>53.820283702859996</v>
          </cell>
          <cell r="BA178">
            <v>63.94487711251</v>
          </cell>
          <cell r="BB178">
            <v>72.011020611220005</v>
          </cell>
          <cell r="BC178">
            <v>83.279509996930003</v>
          </cell>
          <cell r="BD178">
            <v>90.499108032530003</v>
          </cell>
          <cell r="BE178">
            <v>98.376563909270004</v>
          </cell>
          <cell r="BH178">
            <v>0</v>
          </cell>
          <cell r="BI178">
            <v>23.298869108833223</v>
          </cell>
          <cell r="BJ178">
            <v>27.429813096624631</v>
          </cell>
          <cell r="BK178">
            <v>30.945310188899761</v>
          </cell>
          <cell r="BL178">
            <v>32.875912238225609</v>
          </cell>
          <cell r="BM178">
            <v>37.048645754909636</v>
          </cell>
          <cell r="BN178">
            <v>39.649342987894691</v>
          </cell>
          <cell r="BQ178">
            <v>41.629783964609999</v>
          </cell>
          <cell r="BR178">
            <v>30.521414594026773</v>
          </cell>
          <cell r="BS178">
            <v>36.515064015885372</v>
          </cell>
          <cell r="BT178">
            <v>41.065710422320244</v>
          </cell>
          <cell r="BU178">
            <v>50.403597758704393</v>
          </cell>
          <cell r="BV178">
            <v>53.450462277620368</v>
          </cell>
          <cell r="BW178">
            <v>58.727220921375313</v>
          </cell>
          <cell r="BZ178">
            <v>7.4592003832491288E-2</v>
          </cell>
          <cell r="CA178">
            <v>2.9446380889618252E-2</v>
          </cell>
        </row>
        <row r="179">
          <cell r="Q179">
            <v>155.65266027014036</v>
          </cell>
          <cell r="R179">
            <v>58.087687214378782</v>
          </cell>
          <cell r="S179">
            <v>86.553286193795373</v>
          </cell>
          <cell r="T179">
            <v>155.67925618670219</v>
          </cell>
          <cell r="U179">
            <v>294.66962690616242</v>
          </cell>
          <cell r="V179">
            <v>183.87394367286561</v>
          </cell>
          <cell r="W179">
            <v>223.57232915489456</v>
          </cell>
          <cell r="X179">
            <v>12.998436634050623</v>
          </cell>
          <cell r="Y179">
            <v>6.4403356636901039</v>
          </cell>
          <cell r="Z179">
            <v>1.2586452902</v>
          </cell>
          <cell r="AA179">
            <v>102.02637491710546</v>
          </cell>
          <cell r="AB179">
            <v>0.11528057547271719</v>
          </cell>
          <cell r="AC179" t="e">
            <v>#VALUE!</v>
          </cell>
          <cell r="AD179">
            <v>0.11528057547271719</v>
          </cell>
          <cell r="AE179">
            <v>43.358681283538402</v>
          </cell>
          <cell r="AF179">
            <v>54.703301943100755</v>
          </cell>
          <cell r="AG179">
            <v>206.42999999999998</v>
          </cell>
          <cell r="AH179">
            <v>70.698789840206189</v>
          </cell>
          <cell r="AI179">
            <v>59.375908959537568</v>
          </cell>
          <cell r="AJ179">
            <v>96.220930635838158</v>
          </cell>
          <cell r="AK179">
            <v>335.83759517341036</v>
          </cell>
          <cell r="AL179">
            <v>85.101789017341048</v>
          </cell>
          <cell r="AP179">
            <v>83.805314235128293</v>
          </cell>
          <cell r="AQ179">
            <v>-12.008406786217925</v>
          </cell>
          <cell r="AR179">
            <v>-50.777339729859619</v>
          </cell>
          <cell r="AS179">
            <v>-12.611102625827407</v>
          </cell>
          <cell r="AT179">
            <v>27.177377234257804</v>
          </cell>
          <cell r="AU179">
            <v>59.458325550864032</v>
          </cell>
          <cell r="AV179">
            <v>-41.167968267247943</v>
          </cell>
          <cell r="AW179">
            <v>98.77215465552456</v>
          </cell>
          <cell r="AY179">
            <v>169.85889067554956</v>
          </cell>
          <cell r="AZ179">
            <v>325.51155094568986</v>
          </cell>
          <cell r="BA179">
            <v>383.59923816006869</v>
          </cell>
          <cell r="BB179">
            <v>470.15252435386401</v>
          </cell>
          <cell r="BC179">
            <v>625.83178054056623</v>
          </cell>
          <cell r="BD179">
            <v>920.50140744672865</v>
          </cell>
          <cell r="BE179">
            <v>1104.3753511195941</v>
          </cell>
          <cell r="BH179">
            <v>98.061983226639157</v>
          </cell>
          <cell r="BI179">
            <v>304.49198322663915</v>
          </cell>
          <cell r="BJ179">
            <v>375.19077306684534</v>
          </cell>
          <cell r="BK179">
            <v>434.56668202638292</v>
          </cell>
          <cell r="BL179">
            <v>530.78761266222102</v>
          </cell>
          <cell r="BM179">
            <v>866.6252078356315</v>
          </cell>
          <cell r="BN179">
            <v>951.72699685297255</v>
          </cell>
          <cell r="BQ179">
            <v>71.79690744891036</v>
          </cell>
          <cell r="BR179">
            <v>21.019567719050727</v>
          </cell>
          <cell r="BS179">
            <v>8.4084650932233131</v>
          </cell>
          <cell r="BT179">
            <v>35.585842327481132</v>
          </cell>
          <cell r="BU179">
            <v>95.044167878345149</v>
          </cell>
          <cell r="BV179">
            <v>53.876199611097149</v>
          </cell>
          <cell r="BW179">
            <v>152.6483542666216</v>
          </cell>
          <cell r="BZ179">
            <v>0.56054660473263629</v>
          </cell>
          <cell r="CA179">
            <v>0.47541720213530098</v>
          </cell>
        </row>
        <row r="180">
          <cell r="Q180">
            <v>20.389989183469996</v>
          </cell>
          <cell r="R180">
            <v>23.18330702766</v>
          </cell>
          <cell r="S180">
            <v>26.06416653558</v>
          </cell>
          <cell r="T180">
            <v>47.061405926010011</v>
          </cell>
          <cell r="U180">
            <v>30.953203019040004</v>
          </cell>
          <cell r="V180">
            <v>36.708243836569999</v>
          </cell>
          <cell r="W180">
            <v>24.578930537091001</v>
          </cell>
          <cell r="AE180">
            <v>27.7</v>
          </cell>
          <cell r="AF180">
            <v>36</v>
          </cell>
          <cell r="AG180">
            <v>32.700000000000003</v>
          </cell>
          <cell r="AH180">
            <v>24.7</v>
          </cell>
          <cell r="AI180">
            <v>31.9</v>
          </cell>
          <cell r="AJ180">
            <v>52.1</v>
          </cell>
          <cell r="AK180">
            <v>39</v>
          </cell>
          <cell r="AL180">
            <v>43.2</v>
          </cell>
          <cell r="AP180">
            <v>10.564640287859877</v>
          </cell>
          <cell r="AQ180">
            <v>-11.601199240870002</v>
          </cell>
          <cell r="AR180">
            <v>-12.310010816530006</v>
          </cell>
          <cell r="AT180">
            <v>-5.8358334644199985</v>
          </cell>
          <cell r="AU180">
            <v>-5.0385940739899908</v>
          </cell>
          <cell r="AV180">
            <v>-8.0467969809599964</v>
          </cell>
          <cell r="AW180">
            <v>-6.4917561634300043</v>
          </cell>
          <cell r="AY180">
            <v>62.663441046989874</v>
          </cell>
          <cell r="AZ180">
            <v>83.053430230459867</v>
          </cell>
          <cell r="BA180">
            <v>106.23673725811986</v>
          </cell>
          <cell r="BB180">
            <v>132.30090379369986</v>
          </cell>
          <cell r="BC180">
            <v>179.36230971970986</v>
          </cell>
          <cell r="BD180">
            <v>210.31551273874987</v>
          </cell>
          <cell r="BE180">
            <v>247.02375657531988</v>
          </cell>
          <cell r="BH180">
            <v>63.7</v>
          </cell>
          <cell r="BI180">
            <v>96.4</v>
          </cell>
          <cell r="BJ180">
            <v>121.10000000000001</v>
          </cell>
          <cell r="BK180">
            <v>153</v>
          </cell>
          <cell r="BL180">
            <v>205.1</v>
          </cell>
          <cell r="BM180">
            <v>244.1</v>
          </cell>
          <cell r="BN180">
            <v>287.3</v>
          </cell>
          <cell r="BQ180">
            <v>-1.0365589530101289</v>
          </cell>
          <cell r="BR180">
            <v>-13.346569769540139</v>
          </cell>
          <cell r="BS180">
            <v>-14.863262741880149</v>
          </cell>
          <cell r="BT180">
            <v>-20.69909620630014</v>
          </cell>
          <cell r="BU180">
            <v>-25.737690280290138</v>
          </cell>
          <cell r="BV180">
            <v>-33.784487261250121</v>
          </cell>
          <cell r="BW180">
            <v>-40.276243424680132</v>
          </cell>
          <cell r="BZ180">
            <v>0.16065169084820849</v>
          </cell>
          <cell r="CA180">
            <v>0.18370449089587504</v>
          </cell>
        </row>
        <row r="181">
          <cell r="Q181">
            <v>20.419145816216478</v>
          </cell>
          <cell r="R181">
            <v>18.153312371182583</v>
          </cell>
          <cell r="S181">
            <v>17.05947118514537</v>
          </cell>
          <cell r="T181">
            <v>12.247566229500725</v>
          </cell>
          <cell r="U181">
            <v>25.380658931673061</v>
          </cell>
          <cell r="V181">
            <v>21.110588443768986</v>
          </cell>
          <cell r="W181">
            <v>19.332088271396032</v>
          </cell>
          <cell r="AE181">
            <v>2</v>
          </cell>
          <cell r="AF181">
            <v>4.0999999999999996</v>
          </cell>
          <cell r="AG181">
            <v>5</v>
          </cell>
          <cell r="AH181">
            <v>22</v>
          </cell>
          <cell r="AI181">
            <v>10.4</v>
          </cell>
          <cell r="AJ181">
            <v>11.8</v>
          </cell>
          <cell r="AK181">
            <v>23.4</v>
          </cell>
          <cell r="AL181">
            <v>7.2</v>
          </cell>
          <cell r="AP181">
            <v>6.741418895517878</v>
          </cell>
          <cell r="AQ181">
            <v>2.3909133710559747</v>
          </cell>
          <cell r="AR181">
            <v>15.419145816216478</v>
          </cell>
          <cell r="AT181">
            <v>6.6594711851453692</v>
          </cell>
          <cell r="AU181">
            <v>0.44756622950072433</v>
          </cell>
          <cell r="AV181">
            <v>1.9806589316730623</v>
          </cell>
          <cell r="AW181">
            <v>13.910588443768987</v>
          </cell>
          <cell r="AY181">
            <v>15.232332266573852</v>
          </cell>
          <cell r="AZ181">
            <v>35.651478082790334</v>
          </cell>
          <cell r="BA181">
            <v>53.804790453972913</v>
          </cell>
          <cell r="BB181">
            <v>70.864261639118283</v>
          </cell>
          <cell r="BC181">
            <v>83.111827868619002</v>
          </cell>
          <cell r="BD181">
            <v>108.49248680029206</v>
          </cell>
          <cell r="BE181">
            <v>129.60307524406105</v>
          </cell>
          <cell r="BH181">
            <v>6.1</v>
          </cell>
          <cell r="BI181">
            <v>11.1</v>
          </cell>
          <cell r="BJ181">
            <v>33.1</v>
          </cell>
          <cell r="BK181">
            <v>43.5</v>
          </cell>
          <cell r="BL181">
            <v>55.3</v>
          </cell>
          <cell r="BM181">
            <v>78.699999999999989</v>
          </cell>
          <cell r="BN181">
            <v>85.899999999999991</v>
          </cell>
          <cell r="BQ181">
            <v>9.1323322665738527</v>
          </cell>
          <cell r="BR181">
            <v>24.551478082790332</v>
          </cell>
          <cell r="BS181">
            <v>20.704790453972912</v>
          </cell>
          <cell r="BT181">
            <v>27.364261639118283</v>
          </cell>
          <cell r="BU181">
            <v>27.811827868619005</v>
          </cell>
          <cell r="BV181">
            <v>29.792486800292068</v>
          </cell>
          <cell r="BW181">
            <v>43.703075244061054</v>
          </cell>
          <cell r="BZ181">
            <v>7.4441813876305482E-2</v>
          </cell>
          <cell r="CA181">
            <v>4.9531244985577226E-2</v>
          </cell>
        </row>
        <row r="182">
          <cell r="Q182">
            <v>5.0113765807009782</v>
          </cell>
          <cell r="R182">
            <v>4.7818756766337636</v>
          </cell>
          <cell r="S182">
            <v>21.554095750260004</v>
          </cell>
          <cell r="T182">
            <v>5.9497288321294901</v>
          </cell>
          <cell r="U182">
            <v>3.9456540861499994</v>
          </cell>
          <cell r="V182">
            <v>21.941462904838779</v>
          </cell>
          <cell r="W182">
            <v>6.9551681920775339</v>
          </cell>
          <cell r="AE182">
            <v>10.119681283538403</v>
          </cell>
          <cell r="AF182">
            <v>10.35904385061521</v>
          </cell>
          <cell r="AG182">
            <v>9.3999999999999986</v>
          </cell>
          <cell r="AH182">
            <v>7.7757898402061905</v>
          </cell>
          <cell r="AI182">
            <v>10.8</v>
          </cell>
          <cell r="AJ182">
            <v>24</v>
          </cell>
          <cell r="AK182">
            <v>5.2</v>
          </cell>
          <cell r="AL182">
            <v>29.5</v>
          </cell>
          <cell r="AP182">
            <v>53.538706444161605</v>
          </cell>
          <cell r="AQ182">
            <v>-1.4290486148652075</v>
          </cell>
          <cell r="AR182">
            <v>-4.3886234192990203</v>
          </cell>
          <cell r="AT182">
            <v>10.754095750260003</v>
          </cell>
          <cell r="AU182">
            <v>-18.050271167870509</v>
          </cell>
          <cell r="AV182">
            <v>-1.2543459138500008</v>
          </cell>
          <cell r="AW182">
            <v>-7.5585370951612205</v>
          </cell>
          <cell r="AY182">
            <v>72.588382963450016</v>
          </cell>
          <cell r="AZ182">
            <v>77.599759544150999</v>
          </cell>
          <cell r="BA182">
            <v>82.381635220784759</v>
          </cell>
          <cell r="BB182">
            <v>103.93573097104476</v>
          </cell>
          <cell r="BC182">
            <v>109.88545980317426</v>
          </cell>
          <cell r="BD182">
            <v>113.83111388932426</v>
          </cell>
          <cell r="BE182">
            <v>135.77257679416303</v>
          </cell>
          <cell r="BH182">
            <v>20.478725134153613</v>
          </cell>
          <cell r="BI182">
            <v>29.878725134153612</v>
          </cell>
          <cell r="BJ182">
            <v>37.654514974359799</v>
          </cell>
          <cell r="BK182">
            <v>48.454514974359796</v>
          </cell>
          <cell r="BL182">
            <v>72.454514974359796</v>
          </cell>
          <cell r="BM182">
            <v>77.654514974359799</v>
          </cell>
          <cell r="BN182">
            <v>107.1545149743598</v>
          </cell>
          <cell r="BQ182">
            <v>52.109657829296403</v>
          </cell>
          <cell r="BR182">
            <v>47.721034409997387</v>
          </cell>
          <cell r="BS182">
            <v>44.72712024642496</v>
          </cell>
          <cell r="BT182">
            <v>55.481215996684966</v>
          </cell>
          <cell r="BU182">
            <v>37.430944828814461</v>
          </cell>
          <cell r="BV182">
            <v>36.176598914964458</v>
          </cell>
          <cell r="BW182">
            <v>28.618061819803231</v>
          </cell>
          <cell r="BZ182">
            <v>9.8422488785964254E-2</v>
          </cell>
          <cell r="CA182">
            <v>6.4896244692697808E-2</v>
          </cell>
        </row>
        <row r="183">
          <cell r="Q183">
            <v>100</v>
          </cell>
          <cell r="R183">
            <v>0</v>
          </cell>
          <cell r="S183">
            <v>17.899999999999999</v>
          </cell>
          <cell r="T183">
            <v>88.812268683499994</v>
          </cell>
          <cell r="U183">
            <v>114.15</v>
          </cell>
          <cell r="V183">
            <v>98.247960756910004</v>
          </cell>
          <cell r="W183">
            <v>150.15</v>
          </cell>
          <cell r="AE183">
            <v>0</v>
          </cell>
          <cell r="AF183">
            <v>0</v>
          </cell>
          <cell r="AG183">
            <v>138.19999999999999</v>
          </cell>
          <cell r="AH183">
            <v>0</v>
          </cell>
          <cell r="AI183">
            <v>0</v>
          </cell>
          <cell r="AJ183">
            <v>0</v>
          </cell>
          <cell r="AK183">
            <v>139.078495</v>
          </cell>
          <cell r="AL183">
            <v>0</v>
          </cell>
          <cell r="AP183">
            <v>4.4000000000000004</v>
          </cell>
          <cell r="AQ183">
            <v>0.5</v>
          </cell>
          <cell r="AR183">
            <v>-38.199999999999989</v>
          </cell>
          <cell r="AT183">
            <v>17.899999999999999</v>
          </cell>
          <cell r="AU183">
            <v>88.812268683499994</v>
          </cell>
          <cell r="AV183">
            <v>-24.928494999999998</v>
          </cell>
          <cell r="AW183">
            <v>98.247960756910004</v>
          </cell>
          <cell r="AY183">
            <v>4.9000000000000004</v>
          </cell>
          <cell r="AZ183">
            <v>104.9</v>
          </cell>
          <cell r="BA183">
            <v>104.9</v>
          </cell>
          <cell r="BB183">
            <v>122.8</v>
          </cell>
          <cell r="BC183">
            <v>211.61226868349999</v>
          </cell>
          <cell r="BD183">
            <v>325.7622686835</v>
          </cell>
          <cell r="BE183">
            <v>424.01022944041</v>
          </cell>
          <cell r="BH183">
            <v>0</v>
          </cell>
          <cell r="BI183">
            <v>138.19999999999999</v>
          </cell>
          <cell r="BJ183">
            <v>138.19999999999999</v>
          </cell>
          <cell r="BK183">
            <v>138.19999999999999</v>
          </cell>
          <cell r="BL183">
            <v>138.19999999999999</v>
          </cell>
          <cell r="BM183">
            <v>277.27849500000002</v>
          </cell>
          <cell r="BN183">
            <v>277.27849500000002</v>
          </cell>
          <cell r="BQ183">
            <v>4.9000000000000004</v>
          </cell>
          <cell r="BR183">
            <v>-33.29999999999999</v>
          </cell>
          <cell r="BS183">
            <v>-33.29999999999999</v>
          </cell>
          <cell r="BT183">
            <v>-15.399999999999991</v>
          </cell>
          <cell r="BU183">
            <v>73.412268683500002</v>
          </cell>
          <cell r="BV183">
            <v>48.483773683499976</v>
          </cell>
          <cell r="BW183">
            <v>146.73173444040998</v>
          </cell>
          <cell r="BZ183">
            <v>0.18953741631313256</v>
          </cell>
          <cell r="CA183">
            <v>0.12378332833646967</v>
          </cell>
        </row>
        <row r="184">
          <cell r="Q184">
            <v>0</v>
          </cell>
          <cell r="R184">
            <v>0</v>
          </cell>
          <cell r="S184">
            <v>0</v>
          </cell>
          <cell r="T184">
            <v>0</v>
          </cell>
          <cell r="U184">
            <v>109.19289789080555</v>
          </cell>
          <cell r="V184">
            <v>0</v>
          </cell>
          <cell r="W184">
            <v>0</v>
          </cell>
          <cell r="AE184">
            <v>0</v>
          </cell>
          <cell r="AF184">
            <v>0</v>
          </cell>
          <cell r="AG184">
            <v>0</v>
          </cell>
          <cell r="AH184">
            <v>0</v>
          </cell>
          <cell r="AI184">
            <v>0</v>
          </cell>
          <cell r="AJ184">
            <v>0</v>
          </cell>
          <cell r="AK184">
            <v>111.04121000000001</v>
          </cell>
          <cell r="AL184">
            <v>0</v>
          </cell>
          <cell r="AP184">
            <v>0</v>
          </cell>
          <cell r="AQ184">
            <v>0</v>
          </cell>
          <cell r="AR184">
            <v>0</v>
          </cell>
          <cell r="AS184">
            <v>0</v>
          </cell>
          <cell r="AT184">
            <v>0</v>
          </cell>
          <cell r="AU184">
            <v>0</v>
          </cell>
          <cell r="AV184">
            <v>-1.8483121091944525</v>
          </cell>
          <cell r="AW184">
            <v>0</v>
          </cell>
          <cell r="AY184">
            <v>0</v>
          </cell>
          <cell r="AZ184">
            <v>0</v>
          </cell>
          <cell r="BA184">
            <v>0</v>
          </cell>
          <cell r="BB184">
            <v>0</v>
          </cell>
          <cell r="BC184">
            <v>0</v>
          </cell>
          <cell r="BD184">
            <v>109.19289789080555</v>
          </cell>
          <cell r="BE184">
            <v>109.19289789080555</v>
          </cell>
          <cell r="BH184">
            <v>0</v>
          </cell>
          <cell r="BI184">
            <v>0</v>
          </cell>
          <cell r="BJ184">
            <v>0</v>
          </cell>
          <cell r="BK184">
            <v>0</v>
          </cell>
          <cell r="BL184">
            <v>0</v>
          </cell>
          <cell r="BM184">
            <v>111.04121000000001</v>
          </cell>
          <cell r="BN184">
            <v>111.04121000000001</v>
          </cell>
          <cell r="BQ184">
            <v>0</v>
          </cell>
          <cell r="BR184">
            <v>0</v>
          </cell>
          <cell r="BS184">
            <v>0</v>
          </cell>
          <cell r="BT184">
            <v>0</v>
          </cell>
          <cell r="BU184">
            <v>0</v>
          </cell>
          <cell r="BV184">
            <v>-1.8483121091944525</v>
          </cell>
          <cell r="BW184">
            <v>-1.8483121091944525</v>
          </cell>
        </row>
        <row r="185">
          <cell r="Q185">
            <v>9.8321486897529002</v>
          </cell>
          <cell r="R185">
            <v>11.969192138902438</v>
          </cell>
          <cell r="S185">
            <v>3.9755527228100003</v>
          </cell>
          <cell r="T185">
            <v>1.608286515561961</v>
          </cell>
          <cell r="U185">
            <v>11.047212978493802</v>
          </cell>
          <cell r="V185">
            <v>5.8656877307778501</v>
          </cell>
          <cell r="W185">
            <v>22.556142154329997</v>
          </cell>
          <cell r="X185">
            <v>12.998436634050623</v>
          </cell>
          <cell r="Y185">
            <v>6.4403356636901039</v>
          </cell>
          <cell r="Z185">
            <v>1.2586452902</v>
          </cell>
          <cell r="AA185">
            <v>102.02637491710546</v>
          </cell>
          <cell r="AB185">
            <v>0.11528057547271719</v>
          </cell>
          <cell r="AC185" t="e">
            <v>#VALUE!</v>
          </cell>
          <cell r="AD185">
            <v>0.11528057547271719</v>
          </cell>
          <cell r="AE185">
            <v>3.5389999999999997</v>
          </cell>
          <cell r="AF185">
            <v>4.2442580924855484</v>
          </cell>
          <cell r="AG185">
            <v>21.13</v>
          </cell>
          <cell r="AH185">
            <v>16.222999999999999</v>
          </cell>
          <cell r="AI185">
            <v>6.2759089595375706</v>
          </cell>
          <cell r="AJ185">
            <v>8.320930635838149</v>
          </cell>
          <cell r="AK185">
            <v>18.117890173410402</v>
          </cell>
          <cell r="AL185">
            <v>5.2017890173410404</v>
          </cell>
          <cell r="AP185">
            <v>8.5605486075889345</v>
          </cell>
          <cell r="AQ185">
            <v>-1.869072301538699</v>
          </cell>
          <cell r="AR185">
            <v>-11.297851310247099</v>
          </cell>
          <cell r="AT185">
            <v>-2.3003562367275698</v>
          </cell>
          <cell r="AU185">
            <v>-6.7126441202761882</v>
          </cell>
          <cell r="AV185">
            <v>-7.0706771949166001</v>
          </cell>
          <cell r="AW185">
            <v>0.66389871343680973</v>
          </cell>
          <cell r="AY185">
            <v>14.474734398535784</v>
          </cell>
          <cell r="AZ185">
            <v>24.306883088288686</v>
          </cell>
          <cell r="BA185">
            <v>36.276075227191122</v>
          </cell>
          <cell r="BB185">
            <v>40.251627950001122</v>
          </cell>
          <cell r="BC185">
            <v>41.859914465563087</v>
          </cell>
          <cell r="BD185">
            <v>52.90712744405689</v>
          </cell>
          <cell r="BE185">
            <v>58.77281517483474</v>
          </cell>
          <cell r="BH185">
            <v>7.783258092485549</v>
          </cell>
          <cell r="BI185">
            <v>28.913258092485549</v>
          </cell>
          <cell r="BJ185">
            <v>45.136258092485548</v>
          </cell>
          <cell r="BK185">
            <v>51.412167052023108</v>
          </cell>
          <cell r="BL185">
            <v>59.73309768786126</v>
          </cell>
          <cell r="BM185">
            <v>77.850987861271676</v>
          </cell>
          <cell r="BN185">
            <v>83.052776878612718</v>
          </cell>
          <cell r="BQ185">
            <v>6.6914763060502338</v>
          </cell>
          <cell r="BR185">
            <v>-4.6063750041968614</v>
          </cell>
          <cell r="BS185">
            <v>-8.860182865294421</v>
          </cell>
          <cell r="BT185">
            <v>-11.160539102021989</v>
          </cell>
          <cell r="BU185">
            <v>-17.873183222298174</v>
          </cell>
          <cell r="BV185">
            <v>-24.943860417214786</v>
          </cell>
          <cell r="BW185">
            <v>-24.279961703777978</v>
          </cell>
          <cell r="BZ185">
            <v>3.7493194909025564E-2</v>
          </cell>
          <cell r="CA185">
            <v>5.3501893224681248E-2</v>
          </cell>
        </row>
        <row r="188">
          <cell r="Q188">
            <v>1562.7831531930278</v>
          </cell>
          <cell r="R188">
            <v>1335.5517192517016</v>
          </cell>
          <cell r="S188">
            <v>1459.047491855642</v>
          </cell>
          <cell r="T188">
            <v>1159.3107929749726</v>
          </cell>
          <cell r="U188">
            <v>1597.5626542380755</v>
          </cell>
          <cell r="V188">
            <v>1158.6352938180446</v>
          </cell>
          <cell r="W188">
            <v>1776.2541291407799</v>
          </cell>
          <cell r="X188">
            <v>1148.16500459793</v>
          </cell>
          <cell r="Y188">
            <v>1326.2427183671002</v>
          </cell>
          <cell r="Z188">
            <v>1444.4205285488624</v>
          </cell>
          <cell r="AA188">
            <v>16173.372973017389</v>
          </cell>
          <cell r="AB188">
            <v>14.480122042055168</v>
          </cell>
          <cell r="AC188" t="e">
            <v>#VALUE!</v>
          </cell>
          <cell r="AD188">
            <v>14.606218679749187</v>
          </cell>
          <cell r="AE188">
            <v>1068.756363721712</v>
          </cell>
          <cell r="AF188">
            <v>1031.5777194433952</v>
          </cell>
          <cell r="AG188">
            <v>1690.6351448769883</v>
          </cell>
          <cell r="AH188">
            <v>1358.7798698023994</v>
          </cell>
          <cell r="AI188">
            <v>1374.4917745222101</v>
          </cell>
          <cell r="AJ188">
            <v>1179.3930006395633</v>
          </cell>
          <cell r="AK188">
            <v>1534.3171599107404</v>
          </cell>
          <cell r="AP188">
            <v>71.364277281834575</v>
          </cell>
          <cell r="AQ188">
            <v>33.701126584312306</v>
          </cell>
          <cell r="AR188">
            <v>-127.85199168396048</v>
          </cell>
          <cell r="AS188">
            <v>-23.228150550697819</v>
          </cell>
          <cell r="AT188">
            <v>84.555717333431858</v>
          </cell>
          <cell r="AU188">
            <v>-20.082207664590669</v>
          </cell>
          <cell r="AV188">
            <v>63.245494327335109</v>
          </cell>
          <cell r="AY188">
            <v>2205.399487031254</v>
          </cell>
          <cell r="AZ188">
            <v>3768.1826402242814</v>
          </cell>
          <cell r="BA188">
            <v>5103.7343594759841</v>
          </cell>
          <cell r="BB188">
            <v>6562.7818513316261</v>
          </cell>
          <cell r="BC188">
            <v>7722.0926443065991</v>
          </cell>
          <cell r="BD188">
            <v>9319.6552985446742</v>
          </cell>
          <cell r="BE188">
            <v>10478.290592362719</v>
          </cell>
          <cell r="BH188">
            <v>2100.3340831651071</v>
          </cell>
          <cell r="BI188">
            <v>3790.969228042095</v>
          </cell>
          <cell r="BJ188">
            <v>5149.7490978444939</v>
          </cell>
          <cell r="BK188">
            <v>6524.240872366704</v>
          </cell>
          <cell r="BL188">
            <v>7703.633873006268</v>
          </cell>
          <cell r="BM188">
            <v>9237.951032917008</v>
          </cell>
          <cell r="BN188">
            <v>9237.951032917008</v>
          </cell>
          <cell r="BQ188">
            <v>105.06540386614701</v>
          </cell>
          <cell r="BR188">
            <v>-22.786587817813107</v>
          </cell>
          <cell r="BS188">
            <v>-46.014738368510578</v>
          </cell>
          <cell r="BT188">
            <v>38.540978964921635</v>
          </cell>
          <cell r="BU188">
            <v>18.458771300331165</v>
          </cell>
          <cell r="BV188">
            <v>81.704265627666246</v>
          </cell>
          <cell r="BW188">
            <v>1240.3395594457106</v>
          </cell>
          <cell r="BZ188">
            <v>6.9165436268801814</v>
          </cell>
          <cell r="CA188">
            <v>6.9000104275418552</v>
          </cell>
        </row>
        <row r="189">
          <cell r="Q189">
            <v>1268.7220575171</v>
          </cell>
          <cell r="R189">
            <v>1092.9445943212645</v>
          </cell>
          <cell r="S189">
            <v>1295.417872444752</v>
          </cell>
          <cell r="T189">
            <v>1014.5812168482155</v>
          </cell>
          <cell r="U189">
            <v>1354.7337588262978</v>
          </cell>
          <cell r="V189">
            <v>960.02224971059331</v>
          </cell>
          <cell r="W189">
            <v>1265.1986597871232</v>
          </cell>
          <cell r="X189">
            <v>936.90342965859668</v>
          </cell>
          <cell r="Y189">
            <v>1228.3875718281001</v>
          </cell>
          <cell r="Z189">
            <v>1156.9326777232959</v>
          </cell>
          <cell r="AA189">
            <v>13489.213309872008</v>
          </cell>
          <cell r="AB189">
            <v>12.122117719974254</v>
          </cell>
          <cell r="AC189" t="e">
            <v>#VALUE!</v>
          </cell>
          <cell r="AD189">
            <v>12.248214357668274</v>
          </cell>
          <cell r="AE189">
            <v>929.45947908848927</v>
          </cell>
          <cell r="AF189">
            <v>892.92130767706817</v>
          </cell>
          <cell r="AG189">
            <v>1360.775263643369</v>
          </cell>
          <cell r="AH189">
            <v>1117.5272050139802</v>
          </cell>
          <cell r="AI189">
            <v>1194.5268260458204</v>
          </cell>
          <cell r="AJ189">
            <v>1015.6999489663854</v>
          </cell>
          <cell r="AK189">
            <v>1339.5282498029148</v>
          </cell>
          <cell r="AP189">
            <v>72.717097568724057</v>
          </cell>
          <cell r="AQ189">
            <v>20.271336872389384</v>
          </cell>
          <cell r="AR189">
            <v>-92.05320612626906</v>
          </cell>
          <cell r="AS189">
            <v>-24.582610692715662</v>
          </cell>
          <cell r="AT189">
            <v>100.89104639893162</v>
          </cell>
          <cell r="AU189">
            <v>-1.1187321181698735</v>
          </cell>
          <cell r="AV189">
            <v>15.205509023383001</v>
          </cell>
          <cell r="AY189">
            <v>1915.3692212066708</v>
          </cell>
          <cell r="AZ189">
            <v>3184.0912787237703</v>
          </cell>
          <cell r="BA189">
            <v>4277.0358730450353</v>
          </cell>
          <cell r="BB189">
            <v>5572.4537454897873</v>
          </cell>
          <cell r="BC189">
            <v>6587.0349623380034</v>
          </cell>
          <cell r="BD189">
            <v>7941.7687211643006</v>
          </cell>
          <cell r="BE189">
            <v>8901.7909708748939</v>
          </cell>
          <cell r="BH189">
            <v>1822.3807867655573</v>
          </cell>
          <cell r="BI189">
            <v>3183.1560504089261</v>
          </cell>
          <cell r="BJ189">
            <v>4300.6832554229059</v>
          </cell>
          <cell r="BK189">
            <v>5495.2100814687265</v>
          </cell>
          <cell r="BL189">
            <v>6510.9100304351123</v>
          </cell>
          <cell r="BM189">
            <v>7850.4382802380269</v>
          </cell>
          <cell r="BN189">
            <v>7850.4382802380269</v>
          </cell>
          <cell r="BQ189">
            <v>92.988434441113299</v>
          </cell>
          <cell r="BR189">
            <v>0.93522831484444424</v>
          </cell>
          <cell r="BS189">
            <v>-23.647382377871011</v>
          </cell>
          <cell r="BT189">
            <v>77.243664021060852</v>
          </cell>
          <cell r="BU189">
            <v>76.124931902891007</v>
          </cell>
          <cell r="BV189">
            <v>91.330440926273695</v>
          </cell>
          <cell r="BW189">
            <v>1051.352690636867</v>
          </cell>
          <cell r="BZ189">
            <v>5.8998922685013762</v>
          </cell>
          <cell r="CA189">
            <v>5.8317084954165219</v>
          </cell>
        </row>
        <row r="190">
          <cell r="Q190">
            <v>229.82562720125335</v>
          </cell>
          <cell r="R190">
            <v>231.78627338494337</v>
          </cell>
          <cell r="S190">
            <v>220.36962725388335</v>
          </cell>
          <cell r="T190">
            <v>260.44324293338332</v>
          </cell>
          <cell r="U190">
            <v>322.04120313933333</v>
          </cell>
          <cell r="V190">
            <v>236.95060855333335</v>
          </cell>
          <cell r="W190">
            <v>239.19305935433331</v>
          </cell>
          <cell r="X190">
            <v>228.78283836333335</v>
          </cell>
          <cell r="Y190">
            <v>240.99025244333333</v>
          </cell>
          <cell r="Z190">
            <v>489.89481366878056</v>
          </cell>
          <cell r="AA190">
            <v>3086.9989706022366</v>
          </cell>
          <cell r="AB190">
            <v>2.8239336017217149</v>
          </cell>
          <cell r="AC190" t="str">
            <v/>
          </cell>
          <cell r="AD190">
            <v>2.8239336017217149</v>
          </cell>
          <cell r="AE190">
            <v>136.05759002946508</v>
          </cell>
          <cell r="AF190">
            <v>235.99584037193952</v>
          </cell>
          <cell r="AG190">
            <v>253.06730158728695</v>
          </cell>
          <cell r="AH190">
            <v>238.41410385292349</v>
          </cell>
          <cell r="AI190">
            <v>234.579779344998</v>
          </cell>
          <cell r="AJ190">
            <v>263.55543885477232</v>
          </cell>
          <cell r="AK190">
            <v>313.56136992002473</v>
          </cell>
          <cell r="AP190">
            <v>26.681482223868272</v>
          </cell>
          <cell r="AQ190">
            <v>-12.013488318946202</v>
          </cell>
          <cell r="AR190">
            <v>-23.241674386033594</v>
          </cell>
          <cell r="AS190">
            <v>-6.6278304679801181</v>
          </cell>
          <cell r="AT190">
            <v>-14.210152091114651</v>
          </cell>
          <cell r="AU190">
            <v>-3.1121959213890023</v>
          </cell>
          <cell r="AV190">
            <v>8.4798332193086026</v>
          </cell>
          <cell r="AY190">
            <v>386.72142430632664</v>
          </cell>
          <cell r="AZ190">
            <v>616.54705150758002</v>
          </cell>
          <cell r="BA190">
            <v>848.33332489252336</v>
          </cell>
          <cell r="BB190">
            <v>1068.7029521464067</v>
          </cell>
          <cell r="BC190">
            <v>1329.14619507979</v>
          </cell>
          <cell r="BD190">
            <v>1651.1873982191232</v>
          </cell>
          <cell r="BE190">
            <v>1888.1380067724565</v>
          </cell>
          <cell r="BH190">
            <v>372.05343040140463</v>
          </cell>
          <cell r="BI190">
            <v>625.12073198869155</v>
          </cell>
          <cell r="BJ190">
            <v>863.53483584161506</v>
          </cell>
          <cell r="BK190">
            <v>1098.114615186613</v>
          </cell>
          <cell r="BL190">
            <v>1361.6700540413854</v>
          </cell>
          <cell r="BM190">
            <v>1675.2314239614102</v>
          </cell>
          <cell r="BN190">
            <v>1675.2314239614102</v>
          </cell>
          <cell r="BQ190">
            <v>14.667993904922014</v>
          </cell>
          <cell r="BR190">
            <v>-8.5736804811115235</v>
          </cell>
          <cell r="BS190">
            <v>-15.201510949091698</v>
          </cell>
          <cell r="BT190">
            <v>-29.411663040206349</v>
          </cell>
          <cell r="BU190">
            <v>-32.523858961595352</v>
          </cell>
          <cell r="BV190">
            <v>-24.044025742286976</v>
          </cell>
          <cell r="BW190">
            <v>212.90658281104629</v>
          </cell>
          <cell r="BZ190">
            <v>1.1904930526246817</v>
          </cell>
          <cell r="CA190">
            <v>1.2196241055379393</v>
          </cell>
        </row>
        <row r="191">
          <cell r="Q191">
            <v>114.93062309356779</v>
          </cell>
          <cell r="R191">
            <v>97.577095191947578</v>
          </cell>
          <cell r="S191">
            <v>99.839122443596665</v>
          </cell>
          <cell r="T191">
            <v>80.184636532315565</v>
          </cell>
          <cell r="U191">
            <v>78.343778427148891</v>
          </cell>
          <cell r="V191">
            <v>99.025721802846675</v>
          </cell>
          <cell r="W191">
            <v>101.61939423679334</v>
          </cell>
          <cell r="X191">
            <v>104.04936530497446</v>
          </cell>
          <cell r="Y191">
            <v>111.93020796266667</v>
          </cell>
          <cell r="Z191">
            <v>99.254814024515426</v>
          </cell>
          <cell r="AA191">
            <v>1168.2704795129862</v>
          </cell>
          <cell r="AB191">
            <v>0.32142097994371183</v>
          </cell>
          <cell r="AC191">
            <v>0.12609663769402049</v>
          </cell>
          <cell r="AD191">
            <v>0.44751761763773235</v>
          </cell>
          <cell r="AE191">
            <v>38.699802558668416</v>
          </cell>
          <cell r="AF191">
            <v>119.90133607843137</v>
          </cell>
          <cell r="AG191">
            <v>90.284681960784297</v>
          </cell>
          <cell r="AH191">
            <v>72.295434640522842</v>
          </cell>
          <cell r="AI191">
            <v>91.401886405228737</v>
          </cell>
          <cell r="AJ191">
            <v>98.853333464052255</v>
          </cell>
          <cell r="AK191">
            <v>94.987434744842744</v>
          </cell>
          <cell r="AP191">
            <v>30.696783632878258</v>
          </cell>
          <cell r="AQ191">
            <v>-7.7822017773646905</v>
          </cell>
          <cell r="AR191">
            <v>24.645941132783491</v>
          </cell>
          <cell r="AS191">
            <v>25.281660551424736</v>
          </cell>
          <cell r="AT191">
            <v>8.4372360383679279</v>
          </cell>
          <cell r="AU191">
            <v>-18.66869693173669</v>
          </cell>
          <cell r="AV191">
            <v>-16.643656317693853</v>
          </cell>
          <cell r="AY191">
            <v>181.51572049261335</v>
          </cell>
          <cell r="AZ191">
            <v>296.44634358618111</v>
          </cell>
          <cell r="BA191">
            <v>394.02343877812871</v>
          </cell>
          <cell r="BB191">
            <v>493.8625612217254</v>
          </cell>
          <cell r="BC191">
            <v>574.04719775404101</v>
          </cell>
          <cell r="BD191">
            <v>652.3909761811899</v>
          </cell>
          <cell r="BE191">
            <v>751.41669798403655</v>
          </cell>
          <cell r="BH191">
            <v>158.60113863709981</v>
          </cell>
          <cell r="BI191">
            <v>248.88582059788411</v>
          </cell>
          <cell r="BJ191">
            <v>321.18125523840695</v>
          </cell>
          <cell r="BK191">
            <v>412.58314164363571</v>
          </cell>
          <cell r="BL191">
            <v>511.43647510768795</v>
          </cell>
          <cell r="BM191">
            <v>606.42390985253064</v>
          </cell>
          <cell r="BN191">
            <v>606.42390985253064</v>
          </cell>
          <cell r="BQ191">
            <v>22.914581855513553</v>
          </cell>
          <cell r="BR191">
            <v>47.560522988297038</v>
          </cell>
          <cell r="BS191">
            <v>72.842183539721773</v>
          </cell>
          <cell r="BT191">
            <v>81.279419578089701</v>
          </cell>
          <cell r="BU191">
            <v>62.61072264635299</v>
          </cell>
          <cell r="BV191">
            <v>45.967066328659257</v>
          </cell>
          <cell r="BW191">
            <v>144.9927881315059</v>
          </cell>
          <cell r="BZ191">
            <v>0.51416405759926775</v>
          </cell>
          <cell r="CA191">
            <v>0.45808472591535199</v>
          </cell>
        </row>
        <row r="192">
          <cell r="Q192">
            <v>26.136318601111117</v>
          </cell>
          <cell r="R192">
            <v>28.111831709090907</v>
          </cell>
          <cell r="S192">
            <v>10.912967109</v>
          </cell>
          <cell r="T192">
            <v>10.992378753888888</v>
          </cell>
          <cell r="U192">
            <v>12.36558303222222</v>
          </cell>
          <cell r="V192">
            <v>49.993232800000001</v>
          </cell>
          <cell r="W192">
            <v>32.539151746666668</v>
          </cell>
          <cell r="X192">
            <v>28.857724697777776</v>
          </cell>
          <cell r="Y192">
            <v>28.824999999999999</v>
          </cell>
          <cell r="Z192">
            <v>28.824999999999999</v>
          </cell>
          <cell r="AA192">
            <v>316.25375747975755</v>
          </cell>
          <cell r="AB192">
            <v>0.32142097994371183</v>
          </cell>
          <cell r="AC192">
            <v>0.12609663769402049</v>
          </cell>
          <cell r="AD192">
            <v>0.44751761763773235</v>
          </cell>
          <cell r="AE192">
            <v>0.38659411764705881</v>
          </cell>
          <cell r="AF192">
            <v>29.059669411764705</v>
          </cell>
          <cell r="AG192">
            <v>6.7430152941176473</v>
          </cell>
          <cell r="AH192">
            <v>6.4093235294117639</v>
          </cell>
          <cell r="AI192">
            <v>12.415775294117648</v>
          </cell>
          <cell r="AJ192">
            <v>22.467222352941175</v>
          </cell>
          <cell r="AK192">
            <v>29.995634117647054</v>
          </cell>
          <cell r="AP192">
            <v>34.455825252352952</v>
          </cell>
          <cell r="AQ192">
            <v>-5.2075197517646998</v>
          </cell>
          <cell r="AR192">
            <v>19.39330330699347</v>
          </cell>
          <cell r="AS192">
            <v>21.702508179679143</v>
          </cell>
          <cell r="AT192">
            <v>-1.5028081851176474</v>
          </cell>
          <cell r="AU192">
            <v>-11.474843599052287</v>
          </cell>
          <cell r="AV192">
            <v>-17.630051085424832</v>
          </cell>
          <cell r="AY192">
            <v>58.694569030000011</v>
          </cell>
          <cell r="AZ192">
            <v>84.830887631111125</v>
          </cell>
          <cell r="BA192">
            <v>112.94271934020203</v>
          </cell>
          <cell r="BB192">
            <v>123.85568644920204</v>
          </cell>
          <cell r="BC192">
            <v>134.84806520309093</v>
          </cell>
          <cell r="BD192">
            <v>147.21364823531314</v>
          </cell>
          <cell r="BE192">
            <v>197.20688103531313</v>
          </cell>
          <cell r="BH192">
            <v>29.446263529411763</v>
          </cell>
          <cell r="BI192">
            <v>36.189278823529406</v>
          </cell>
          <cell r="BJ192">
            <v>42.598602352941171</v>
          </cell>
          <cell r="BK192">
            <v>55.014377647058822</v>
          </cell>
          <cell r="BL192">
            <v>77.4816</v>
          </cell>
          <cell r="BM192">
            <v>107.47723411764706</v>
          </cell>
          <cell r="BN192">
            <v>107.47723411764706</v>
          </cell>
          <cell r="BQ192">
            <v>29.248305500588248</v>
          </cell>
          <cell r="BR192">
            <v>48.641608807581719</v>
          </cell>
          <cell r="BS192">
            <v>70.344116987260861</v>
          </cell>
          <cell r="BT192">
            <v>68.841308802143217</v>
          </cell>
          <cell r="BU192">
            <v>57.366465203090925</v>
          </cell>
          <cell r="BV192">
            <v>39.736414117666087</v>
          </cell>
          <cell r="BW192">
            <v>89.729646917666074</v>
          </cell>
          <cell r="BZ192">
            <v>0.12078105883192385</v>
          </cell>
          <cell r="CA192">
            <v>6.9398917024855344E-2</v>
          </cell>
        </row>
        <row r="193">
          <cell r="Q193">
            <v>88.794304492456675</v>
          </cell>
          <cell r="R193">
            <v>69.46526348285667</v>
          </cell>
          <cell r="S193">
            <v>88.926155334596658</v>
          </cell>
          <cell r="T193">
            <v>69.192257778426679</v>
          </cell>
          <cell r="U193">
            <v>65.978195394926672</v>
          </cell>
          <cell r="V193">
            <v>49.032489002846667</v>
          </cell>
          <cell r="W193">
            <v>69.080242490126665</v>
          </cell>
          <cell r="X193">
            <v>75.191640607196675</v>
          </cell>
          <cell r="Y193">
            <v>83.105207962666668</v>
          </cell>
          <cell r="Z193">
            <v>70.429814024515423</v>
          </cell>
          <cell r="AA193">
            <v>852.01672203322869</v>
          </cell>
          <cell r="AB193">
            <v>0</v>
          </cell>
          <cell r="AC193">
            <v>0</v>
          </cell>
          <cell r="AD193">
            <v>0</v>
          </cell>
          <cell r="AE193">
            <v>38.313208441021359</v>
          </cell>
          <cell r="AF193">
            <v>90.841666666666669</v>
          </cell>
          <cell r="AG193">
            <v>83.541666666666657</v>
          </cell>
          <cell r="AH193">
            <v>65.886111111111077</v>
          </cell>
          <cell r="AI193">
            <v>78.986111111111086</v>
          </cell>
          <cell r="AJ193">
            <v>76.386111111111077</v>
          </cell>
          <cell r="AK193">
            <v>64.991800627195687</v>
          </cell>
          <cell r="AP193">
            <v>-3.7590416194746936</v>
          </cell>
          <cell r="AQ193">
            <v>-2.5746820255999978</v>
          </cell>
          <cell r="AR193">
            <v>5.2526378257900177</v>
          </cell>
          <cell r="AS193">
            <v>3.5791523717455931</v>
          </cell>
          <cell r="AT193">
            <v>9.9400442234855717</v>
          </cell>
          <cell r="AU193">
            <v>-7.1938533326843981</v>
          </cell>
          <cell r="AV193">
            <v>0.98639476773098522</v>
          </cell>
          <cell r="AY193">
            <v>122.82115146261334</v>
          </cell>
          <cell r="AZ193">
            <v>211.61545595507002</v>
          </cell>
          <cell r="BA193">
            <v>281.08071943792669</v>
          </cell>
          <cell r="BB193">
            <v>370.00687477252336</v>
          </cell>
          <cell r="BC193">
            <v>439.19913255095003</v>
          </cell>
          <cell r="BD193">
            <v>505.17732794587664</v>
          </cell>
          <cell r="BE193">
            <v>554.2098169487233</v>
          </cell>
          <cell r="BH193">
            <v>129.15487510768804</v>
          </cell>
          <cell r="BI193">
            <v>212.6965417743547</v>
          </cell>
          <cell r="BJ193">
            <v>278.58265288546579</v>
          </cell>
          <cell r="BK193">
            <v>357.56876399657688</v>
          </cell>
          <cell r="BL193">
            <v>433.95487510768794</v>
          </cell>
          <cell r="BM193">
            <v>498.94667573488363</v>
          </cell>
          <cell r="BN193">
            <v>498.94667573488363</v>
          </cell>
          <cell r="BQ193">
            <v>-6.3337236450746959</v>
          </cell>
          <cell r="BR193">
            <v>-1.0810858192846786</v>
          </cell>
          <cell r="BS193">
            <v>2.498066552460906</v>
          </cell>
          <cell r="BT193">
            <v>12.438110775946482</v>
          </cell>
          <cell r="BU193">
            <v>5.2442574432620646</v>
          </cell>
          <cell r="BV193">
            <v>6.2306522109930143</v>
          </cell>
          <cell r="BW193">
            <v>55.263141213839674</v>
          </cell>
          <cell r="BZ193">
            <v>0.39338299876734384</v>
          </cell>
          <cell r="CA193">
            <v>0.38868580889049659</v>
          </cell>
        </row>
        <row r="194">
          <cell r="Q194">
            <v>923.96580722227884</v>
          </cell>
          <cell r="R194">
            <v>763.58122574437368</v>
          </cell>
          <cell r="S194">
            <v>975.20912274727209</v>
          </cell>
          <cell r="T194">
            <v>673.95333738251657</v>
          </cell>
          <cell r="U194">
            <v>954.34877725981562</v>
          </cell>
          <cell r="V194">
            <v>624.04591935441329</v>
          </cell>
          <cell r="W194">
            <v>924.38620619599646</v>
          </cell>
          <cell r="X194">
            <v>604.07122599028889</v>
          </cell>
          <cell r="Y194">
            <v>875.46711142210006</v>
          </cell>
          <cell r="Z194">
            <v>567.78305003000003</v>
          </cell>
          <cell r="AA194">
            <v>9233.943859756786</v>
          </cell>
          <cell r="AB194">
            <v>8.9767631383088275</v>
          </cell>
          <cell r="AC194" t="str">
            <v/>
          </cell>
          <cell r="AD194">
            <v>8.9767631383088275</v>
          </cell>
          <cell r="AE194">
            <v>754.70208650035579</v>
          </cell>
          <cell r="AF194">
            <v>537.02413122669725</v>
          </cell>
          <cell r="AG194">
            <v>1017.4232800952977</v>
          </cell>
          <cell r="AH194">
            <v>806.81766652053375</v>
          </cell>
          <cell r="AI194">
            <v>868.54516029559363</v>
          </cell>
          <cell r="AJ194">
            <v>653.29117664756075</v>
          </cell>
          <cell r="AK194">
            <v>930.97944513804737</v>
          </cell>
          <cell r="AP194">
            <v>15.338831711977491</v>
          </cell>
          <cell r="AQ194">
            <v>40.067026968700247</v>
          </cell>
          <cell r="AR194">
            <v>-93.457472873018901</v>
          </cell>
          <cell r="AS194">
            <v>-43.236440776160066</v>
          </cell>
          <cell r="AT194">
            <v>106.66396245167846</v>
          </cell>
          <cell r="AU194">
            <v>20.662160734955819</v>
          </cell>
          <cell r="AV194">
            <v>23.369332121768252</v>
          </cell>
          <cell r="AY194">
            <v>1347.1320764077307</v>
          </cell>
          <cell r="AZ194">
            <v>2271.0978836300092</v>
          </cell>
          <cell r="BA194">
            <v>3034.6791093743832</v>
          </cell>
          <cell r="BB194">
            <v>4009.8882321216556</v>
          </cell>
          <cell r="BC194">
            <v>4683.8415695041722</v>
          </cell>
          <cell r="BD194">
            <v>5638.1903467639868</v>
          </cell>
          <cell r="BE194">
            <v>6262.2362661183997</v>
          </cell>
          <cell r="BH194">
            <v>1291.7262177270529</v>
          </cell>
          <cell r="BI194">
            <v>2309.1494978223504</v>
          </cell>
          <cell r="BJ194">
            <v>3115.9671643428842</v>
          </cell>
          <cell r="BK194">
            <v>3984.5123246384778</v>
          </cell>
          <cell r="BL194">
            <v>4637.8035012860391</v>
          </cell>
          <cell r="BM194">
            <v>5568.7829464240867</v>
          </cell>
          <cell r="BN194">
            <v>5568.7829464240867</v>
          </cell>
          <cell r="BQ194">
            <v>55.405858680677731</v>
          </cell>
          <cell r="BR194">
            <v>-38.05161419234107</v>
          </cell>
          <cell r="BS194">
            <v>-81.288054968501086</v>
          </cell>
          <cell r="BT194">
            <v>25.375907483177507</v>
          </cell>
          <cell r="BU194">
            <v>46.038068218133375</v>
          </cell>
          <cell r="BV194">
            <v>69.40740033990005</v>
          </cell>
          <cell r="BW194">
            <v>693.453319694313</v>
          </cell>
          <cell r="BZ194">
            <v>4.195235158277427</v>
          </cell>
          <cell r="CA194">
            <v>4.1539996639632308</v>
          </cell>
        </row>
        <row r="196">
          <cell r="Q196">
            <v>294.0610956759279</v>
          </cell>
          <cell r="R196">
            <v>242.60712493043712</v>
          </cell>
          <cell r="S196">
            <v>163.62961941089</v>
          </cell>
          <cell r="T196">
            <v>144.72957612675719</v>
          </cell>
          <cell r="U196">
            <v>242.82889541177775</v>
          </cell>
          <cell r="V196">
            <v>198.61304410745123</v>
          </cell>
          <cell r="W196">
            <v>511.05546935365669</v>
          </cell>
          <cell r="X196">
            <v>211.26157493933331</v>
          </cell>
          <cell r="Y196">
            <v>97.855146539000003</v>
          </cell>
          <cell r="Z196">
            <v>287.48785082556651</v>
          </cell>
          <cell r="AA196">
            <v>2684.1596631453808</v>
          </cell>
          <cell r="AB196">
            <v>2.3580043220809133</v>
          </cell>
          <cell r="AC196" t="e">
            <v>#VALUE!</v>
          </cell>
          <cell r="AD196">
            <v>2.3580043220809133</v>
          </cell>
          <cell r="AE196">
            <v>139.29688463322262</v>
          </cell>
          <cell r="AF196">
            <v>138.65641176632701</v>
          </cell>
          <cell r="AG196">
            <v>329.85988123361915</v>
          </cell>
          <cell r="AH196">
            <v>241.25266478841922</v>
          </cell>
          <cell r="AI196">
            <v>179.96494847638968</v>
          </cell>
          <cell r="AJ196">
            <v>163.69305167317788</v>
          </cell>
          <cell r="AK196">
            <v>194.7889101078257</v>
          </cell>
          <cell r="AP196">
            <v>-1.3528202868892834</v>
          </cell>
          <cell r="AQ196">
            <v>13.429789711923007</v>
          </cell>
          <cell r="AR196">
            <v>-35.798785557691247</v>
          </cell>
          <cell r="AS196">
            <v>1.3544601420178992</v>
          </cell>
          <cell r="AT196">
            <v>-16.335329065499678</v>
          </cell>
          <cell r="AU196">
            <v>-18.963475546420682</v>
          </cell>
          <cell r="AV196">
            <v>48.039985303952051</v>
          </cell>
          <cell r="AY196">
            <v>290.03026582458335</v>
          </cell>
          <cell r="AZ196">
            <v>584.09136150051131</v>
          </cell>
          <cell r="BA196">
            <v>826.69848643094838</v>
          </cell>
          <cell r="BB196">
            <v>990.32810584183846</v>
          </cell>
          <cell r="BC196">
            <v>1135.0576819685957</v>
          </cell>
          <cell r="BD196">
            <v>1377.8865773803732</v>
          </cell>
          <cell r="BE196">
            <v>1576.4996214878245</v>
          </cell>
          <cell r="BH196">
            <v>277.95329639954963</v>
          </cell>
          <cell r="BI196">
            <v>607.81317763316883</v>
          </cell>
          <cell r="BJ196">
            <v>849.06584242158806</v>
          </cell>
          <cell r="BK196">
            <v>1029.0307908979776</v>
          </cell>
          <cell r="BL196">
            <v>1192.7238425711555</v>
          </cell>
          <cell r="BM196">
            <v>1387.5127526789815</v>
          </cell>
          <cell r="BN196">
            <v>1387.5127526789815</v>
          </cell>
          <cell r="BQ196">
            <v>12.07696942503371</v>
          </cell>
          <cell r="BR196">
            <v>-23.721816132657551</v>
          </cell>
          <cell r="BS196">
            <v>-22.367355990639567</v>
          </cell>
          <cell r="BT196">
            <v>-38.702685056139217</v>
          </cell>
          <cell r="BU196">
            <v>-57.666160602559842</v>
          </cell>
          <cell r="BV196">
            <v>-9.6261752986083593</v>
          </cell>
          <cell r="BW196">
            <v>188.98686880884293</v>
          </cell>
          <cell r="BZ196">
            <v>1.016651358378805</v>
          </cell>
          <cell r="CA196">
            <v>1.0683019321253338</v>
          </cell>
        </row>
        <row r="197">
          <cell r="Q197">
            <v>250.2770903</v>
          </cell>
          <cell r="R197">
            <v>181.92547436683</v>
          </cell>
          <cell r="S197">
            <v>136.10404965729001</v>
          </cell>
          <cell r="T197">
            <v>66.59179432900001</v>
          </cell>
          <cell r="U197">
            <v>201.49002999999999</v>
          </cell>
          <cell r="V197">
            <v>117.15720660522</v>
          </cell>
          <cell r="W197">
            <v>455.76433764899002</v>
          </cell>
          <cell r="X197">
            <v>119.3005</v>
          </cell>
          <cell r="Y197">
            <v>80.678799999999995</v>
          </cell>
          <cell r="Z197">
            <v>223.83</v>
          </cell>
          <cell r="AA197">
            <v>2034.9541098073298</v>
          </cell>
          <cell r="AB197">
            <v>1.725590518563513</v>
          </cell>
          <cell r="AC197" t="str">
            <v/>
          </cell>
          <cell r="AD197">
            <v>1.725590518563513</v>
          </cell>
          <cell r="AE197">
            <v>105.5949751885439</v>
          </cell>
          <cell r="AF197">
            <v>83.460269798793149</v>
          </cell>
          <cell r="AG197">
            <v>259.77615401441949</v>
          </cell>
          <cell r="AH197">
            <v>167.34054464170501</v>
          </cell>
          <cell r="AI197">
            <v>133.32951094867099</v>
          </cell>
          <cell r="AJ197">
            <v>88.77389837829439</v>
          </cell>
          <cell r="AK197">
            <v>161.08700066314699</v>
          </cell>
          <cell r="AP197">
            <v>2.2549181114560923</v>
          </cell>
          <cell r="AQ197">
            <v>10.524663801206856</v>
          </cell>
          <cell r="AR197">
            <v>-9.499063714419492</v>
          </cell>
          <cell r="AS197">
            <v>14.584929725124994</v>
          </cell>
          <cell r="AT197">
            <v>2.7745387086190192</v>
          </cell>
          <cell r="AU197">
            <v>-22.182104049294381</v>
          </cell>
          <cell r="AV197">
            <v>40.403029336852995</v>
          </cell>
          <cell r="AY197">
            <v>201.8348269</v>
          </cell>
          <cell r="AZ197">
            <v>452.11191719999999</v>
          </cell>
          <cell r="BA197">
            <v>634.03739156683002</v>
          </cell>
          <cell r="BB197">
            <v>770.14144122412006</v>
          </cell>
          <cell r="BC197">
            <v>836.73323555312004</v>
          </cell>
          <cell r="BD197">
            <v>1038.22326555312</v>
          </cell>
          <cell r="BE197">
            <v>1155.3804721583399</v>
          </cell>
          <cell r="BH197">
            <v>189.05524498733706</v>
          </cell>
          <cell r="BI197">
            <v>448.83139900175655</v>
          </cell>
          <cell r="BJ197">
            <v>616.17194364346153</v>
          </cell>
          <cell r="BK197">
            <v>749.50145459213252</v>
          </cell>
          <cell r="BL197">
            <v>838.27535297042687</v>
          </cell>
          <cell r="BM197">
            <v>999.36235363357389</v>
          </cell>
          <cell r="BN197">
            <v>999.36235363357389</v>
          </cell>
          <cell r="BQ197">
            <v>12.779581912662934</v>
          </cell>
          <cell r="BR197">
            <v>3.2805181982434419</v>
          </cell>
          <cell r="BS197">
            <v>17.865447923368492</v>
          </cell>
          <cell r="BT197">
            <v>20.63998663198754</v>
          </cell>
          <cell r="BU197">
            <v>-1.5421174173068266</v>
          </cell>
          <cell r="BV197">
            <v>38.860911919546083</v>
          </cell>
          <cell r="BW197">
            <v>156.01811852476601</v>
          </cell>
          <cell r="BZ197">
            <v>0.74944735764477921</v>
          </cell>
          <cell r="CA197">
            <v>0.75082860530469142</v>
          </cell>
        </row>
        <row r="198">
          <cell r="Q198">
            <v>43.784005375927912</v>
          </cell>
          <cell r="R198">
            <v>60.681650563607135</v>
          </cell>
          <cell r="S198">
            <v>27.525569753600006</v>
          </cell>
          <cell r="T198">
            <v>78.137781797757199</v>
          </cell>
          <cell r="U198">
            <v>41.338865411777768</v>
          </cell>
          <cell r="V198">
            <v>81.455837502231233</v>
          </cell>
          <cell r="W198">
            <v>55.291131704666668</v>
          </cell>
          <cell r="X198">
            <v>91.961074939333315</v>
          </cell>
          <cell r="Y198">
            <v>17.176346539000001</v>
          </cell>
          <cell r="Z198">
            <v>63.657850825566527</v>
          </cell>
          <cell r="AA198">
            <v>649.205553338051</v>
          </cell>
          <cell r="AB198">
            <v>0.63241380351740051</v>
          </cell>
          <cell r="AC198" t="str">
            <v/>
          </cell>
          <cell r="AD198">
            <v>0.63241380351740051</v>
          </cell>
          <cell r="AE198">
            <v>33.701909444678712</v>
          </cell>
          <cell r="AF198">
            <v>55.196141967533862</v>
          </cell>
          <cell r="AG198">
            <v>70.083727219199687</v>
          </cell>
          <cell r="AH198">
            <v>73.91212014671423</v>
          </cell>
          <cell r="AI198">
            <v>46.635437527718707</v>
          </cell>
          <cell r="AJ198">
            <v>74.9191532948835</v>
          </cell>
          <cell r="AK198">
            <v>33.701909444678712</v>
          </cell>
          <cell r="AP198">
            <v>-3.6077383983453757</v>
          </cell>
          <cell r="AQ198">
            <v>2.9051259107161442</v>
          </cell>
          <cell r="AR198">
            <v>-26.299721843271776</v>
          </cell>
          <cell r="AS198">
            <v>-13.230469583107094</v>
          </cell>
          <cell r="AT198">
            <v>-19.109867774118701</v>
          </cell>
          <cell r="AU198">
            <v>3.2186285028736989</v>
          </cell>
          <cell r="AV198">
            <v>7.6369559670990554</v>
          </cell>
          <cell r="AY198">
            <v>88.195438924583343</v>
          </cell>
          <cell r="AZ198">
            <v>131.97944430051126</v>
          </cell>
          <cell r="BA198">
            <v>192.66109486411841</v>
          </cell>
          <cell r="BB198">
            <v>220.18666461771841</v>
          </cell>
          <cell r="BC198">
            <v>298.32444641547562</v>
          </cell>
          <cell r="BD198">
            <v>339.66331182725338</v>
          </cell>
          <cell r="BE198">
            <v>421.11914932948463</v>
          </cell>
          <cell r="BH198">
            <v>88.898051412212567</v>
          </cell>
          <cell r="BI198">
            <v>158.98177863141225</v>
          </cell>
          <cell r="BJ198">
            <v>232.89389877812647</v>
          </cell>
          <cell r="BK198">
            <v>279.52933630584516</v>
          </cell>
          <cell r="BL198">
            <v>354.44848960072864</v>
          </cell>
          <cell r="BM198">
            <v>388.15039904540737</v>
          </cell>
          <cell r="BN198">
            <v>388.15039904540737</v>
          </cell>
          <cell r="BQ198">
            <v>-0.70261248762922435</v>
          </cell>
          <cell r="BR198">
            <v>-27.002334330900993</v>
          </cell>
          <cell r="BS198">
            <v>-40.232803914008059</v>
          </cell>
          <cell r="BT198">
            <v>-59.342671688126757</v>
          </cell>
          <cell r="BU198">
            <v>-56.124043185253015</v>
          </cell>
          <cell r="BV198">
            <v>-48.487087218153988</v>
          </cell>
          <cell r="BW198">
            <v>32.968750284077259</v>
          </cell>
          <cell r="BZ198">
            <v>0.26720400073402589</v>
          </cell>
          <cell r="CA198">
            <v>0.31747332682064217</v>
          </cell>
        </row>
        <row r="201">
          <cell r="Q201">
            <v>-453.36060913068718</v>
          </cell>
          <cell r="R201">
            <v>-200.99598413182298</v>
          </cell>
          <cell r="S201">
            <v>-282.85149968235692</v>
          </cell>
          <cell r="T201">
            <v>211.58693265500938</v>
          </cell>
          <cell r="U201">
            <v>-101.53025537148301</v>
          </cell>
          <cell r="V201">
            <v>354.6165870373809</v>
          </cell>
          <cell r="W201">
            <v>-492.70167044281538</v>
          </cell>
          <cell r="X201">
            <v>179.51424757188079</v>
          </cell>
          <cell r="Y201">
            <v>-386.7501104948301</v>
          </cell>
          <cell r="Z201">
            <v>-20.858405670287311</v>
          </cell>
          <cell r="AA201">
            <v>-2588.1556149846056</v>
          </cell>
          <cell r="AB201">
            <v>-2.3932970142848156</v>
          </cell>
          <cell r="AC201" t="e">
            <v>#VALUE!</v>
          </cell>
          <cell r="AD201">
            <v>-2.5193936519788345</v>
          </cell>
          <cell r="AE201">
            <v>-342.42051332934034</v>
          </cell>
          <cell r="AF201">
            <v>406.54498249970561</v>
          </cell>
          <cell r="AG201">
            <v>-666.02484487698825</v>
          </cell>
          <cell r="AH201">
            <v>-139.50961375217958</v>
          </cell>
          <cell r="AI201">
            <v>-349.43378398148525</v>
          </cell>
          <cell r="AJ201">
            <v>139.11951925919243</v>
          </cell>
          <cell r="AK201">
            <v>-147.46399630213136</v>
          </cell>
          <cell r="AP201">
            <v>-57.990141249089447</v>
          </cell>
          <cell r="AQ201">
            <v>-154.3404523005504</v>
          </cell>
          <cell r="AR201">
            <v>212.66423574630107</v>
          </cell>
          <cell r="AS201">
            <v>-61.486370379643404</v>
          </cell>
          <cell r="AT201">
            <v>66.582284299128332</v>
          </cell>
          <cell r="AU201">
            <v>72.467413395816948</v>
          </cell>
          <cell r="AV201">
            <v>45.933740930648355</v>
          </cell>
          <cell r="AY201">
            <v>-148.20612437927457</v>
          </cell>
          <cell r="AZ201">
            <v>-601.56673350996107</v>
          </cell>
          <cell r="BA201">
            <v>-802.56271764178473</v>
          </cell>
          <cell r="BB201">
            <v>-1085.4142173241407</v>
          </cell>
          <cell r="BC201">
            <v>-873.82728466913341</v>
          </cell>
          <cell r="BD201">
            <v>-975.35754004061528</v>
          </cell>
          <cell r="BE201">
            <v>-620.74095300323438</v>
          </cell>
          <cell r="BH201">
            <v>6.1256000615321682</v>
          </cell>
          <cell r="BI201">
            <v>-601.90037570662298</v>
          </cell>
          <cell r="BJ201">
            <v>-741.40998945880165</v>
          </cell>
          <cell r="BK201">
            <v>-1090.8437734402869</v>
          </cell>
          <cell r="BL201">
            <v>-951.72425418109469</v>
          </cell>
          <cell r="BM201">
            <v>-1099.1882504832267</v>
          </cell>
          <cell r="BN201">
            <v>-1099.1882504832267</v>
          </cell>
          <cell r="BQ201">
            <v>-154.33172444080662</v>
          </cell>
          <cell r="BR201">
            <v>0.33364219666083272</v>
          </cell>
          <cell r="BS201">
            <v>-61.152728182982742</v>
          </cell>
          <cell r="BT201">
            <v>5.4295561161453136</v>
          </cell>
          <cell r="BU201">
            <v>77.8969695119618</v>
          </cell>
          <cell r="BV201">
            <v>123.83071044261146</v>
          </cell>
          <cell r="BW201">
            <v>478.44729747999236</v>
          </cell>
          <cell r="BZ201">
            <v>-0.78267185012709917</v>
          </cell>
          <cell r="CA201">
            <v>-0.85244280637539926</v>
          </cell>
        </row>
        <row r="203">
          <cell r="Q203">
            <v>404.7786453096212</v>
          </cell>
          <cell r="R203">
            <v>265.80763936931908</v>
          </cell>
          <cell r="S203">
            <v>241.58523357122994</v>
          </cell>
          <cell r="T203">
            <v>258.14069976800113</v>
          </cell>
          <cell r="U203">
            <v>246.26153916855324</v>
          </cell>
          <cell r="V203">
            <v>254.81999630365004</v>
          </cell>
          <cell r="W203">
            <v>217.43101778686668</v>
          </cell>
          <cell r="X203">
            <v>294.67137153757579</v>
          </cell>
          <cell r="Y203">
            <v>292.82296226800003</v>
          </cell>
          <cell r="Z203">
            <v>671.79916426696855</v>
          </cell>
          <cell r="AA203">
            <v>3593.7375903045527</v>
          </cell>
          <cell r="AB203" t="e">
            <v>#VALUE!</v>
          </cell>
          <cell r="AC203" t="e">
            <v>#VALUE!</v>
          </cell>
          <cell r="AD203">
            <v>2.6715333763513591</v>
          </cell>
          <cell r="AE203">
            <v>233.55099404603934</v>
          </cell>
          <cell r="AF203">
            <v>376.67698818875624</v>
          </cell>
          <cell r="AG203">
            <v>566.83263536502761</v>
          </cell>
          <cell r="AH203">
            <v>243.77043497050661</v>
          </cell>
          <cell r="AI203">
            <v>212.5075514024339</v>
          </cell>
          <cell r="AJ203">
            <v>245.09899648454331</v>
          </cell>
          <cell r="AK203">
            <v>225.82966824904469</v>
          </cell>
          <cell r="AP203">
            <v>-82.345610499372668</v>
          </cell>
          <cell r="AQ203">
            <v>-82.263050780656215</v>
          </cell>
          <cell r="AR203">
            <v>-162.05399005540642</v>
          </cell>
          <cell r="AS203">
            <v>22.037204398812463</v>
          </cell>
          <cell r="AT203">
            <v>29.077682168796031</v>
          </cell>
          <cell r="AU203">
            <v>13.041703283457821</v>
          </cell>
          <cell r="AV203">
            <v>20.431870919508555</v>
          </cell>
          <cell r="AY203">
            <v>445.61932095476669</v>
          </cell>
          <cell r="AZ203">
            <v>850.39796626438783</v>
          </cell>
          <cell r="BA203">
            <v>1116.2056056337069</v>
          </cell>
          <cell r="BB203">
            <v>1357.7908392049369</v>
          </cell>
          <cell r="BC203">
            <v>1615.9315389729379</v>
          </cell>
          <cell r="BD203">
            <v>1862.1930781414915</v>
          </cell>
          <cell r="BE203">
            <v>2117.0130744451417</v>
          </cell>
          <cell r="BH203">
            <v>610.22798223479549</v>
          </cell>
          <cell r="BI203">
            <v>1177.0606175998232</v>
          </cell>
          <cell r="BJ203">
            <v>1420.8310525703296</v>
          </cell>
          <cell r="BK203">
            <v>1633.3386039727634</v>
          </cell>
          <cell r="BL203">
            <v>1878.4376004573069</v>
          </cell>
          <cell r="BM203">
            <v>2104.2672687063514</v>
          </cell>
          <cell r="BN203">
            <v>2104.2672687063514</v>
          </cell>
          <cell r="BQ203">
            <v>-164.60866128002888</v>
          </cell>
          <cell r="BR203">
            <v>-326.66265133543533</v>
          </cell>
          <cell r="BS203">
            <v>-304.62544693662289</v>
          </cell>
          <cell r="BT203">
            <v>-275.54776476782672</v>
          </cell>
          <cell r="BU203">
            <v>-262.5060614843689</v>
          </cell>
          <cell r="BV203">
            <v>-242.07419056485992</v>
          </cell>
          <cell r="BW203">
            <v>12.745805738790295</v>
          </cell>
          <cell r="BZ203">
            <v>1.4473616805929372</v>
          </cell>
          <cell r="CA203">
            <v>1.6824837789940452</v>
          </cell>
        </row>
        <row r="205">
          <cell r="Q205">
            <v>1967.561798502649</v>
          </cell>
          <cell r="R205">
            <v>1601.3593586210206</v>
          </cell>
          <cell r="S205">
            <v>1700.632725426872</v>
          </cell>
          <cell r="T205">
            <v>1417.4514927429736</v>
          </cell>
          <cell r="U205">
            <v>1843.8241934066289</v>
          </cell>
          <cell r="V205">
            <v>1413.4552901216946</v>
          </cell>
          <cell r="W205">
            <v>1993.6851469276467</v>
          </cell>
          <cell r="X205">
            <v>1442.8363761355058</v>
          </cell>
          <cell r="Y205">
            <v>1619.0656806351003</v>
          </cell>
          <cell r="Z205">
            <v>2116.219692815831</v>
          </cell>
          <cell r="AA205">
            <v>19767.110563321941</v>
          </cell>
          <cell r="AB205" t="e">
            <v>#VALUE!</v>
          </cell>
          <cell r="AC205" t="e">
            <v>#VALUE!</v>
          </cell>
          <cell r="AD205">
            <v>17.277752056100546</v>
          </cell>
          <cell r="AE205">
            <v>1302.3073577677512</v>
          </cell>
          <cell r="AF205">
            <v>1408.2547076321514</v>
          </cell>
          <cell r="AG205">
            <v>2257.467780242016</v>
          </cell>
          <cell r="AH205">
            <v>1602.550304772906</v>
          </cell>
          <cell r="AI205">
            <v>1586.9993259246439</v>
          </cell>
          <cell r="AJ205">
            <v>1424.4919971241065</v>
          </cell>
          <cell r="AK205">
            <v>1760.1468281597852</v>
          </cell>
          <cell r="AP205">
            <v>-10.981333217537895</v>
          </cell>
          <cell r="AQ205">
            <v>-48.561924196343853</v>
          </cell>
          <cell r="AR205">
            <v>-289.90598173936701</v>
          </cell>
          <cell r="AS205">
            <v>-1.1909461518853277</v>
          </cell>
          <cell r="AT205">
            <v>113.63339950222803</v>
          </cell>
          <cell r="AU205">
            <v>-7.0405043811329051</v>
          </cell>
          <cell r="AV205">
            <v>83.677365246843692</v>
          </cell>
          <cell r="AY205">
            <v>2651.0188079860209</v>
          </cell>
          <cell r="AZ205">
            <v>4618.5806064886692</v>
          </cell>
          <cell r="BA205">
            <v>6219.939965109691</v>
          </cell>
          <cell r="BB205">
            <v>7920.5726905365627</v>
          </cell>
          <cell r="BC205">
            <v>9338.0241832795364</v>
          </cell>
          <cell r="BD205">
            <v>11181.848376686165</v>
          </cell>
          <cell r="BE205">
            <v>12595.303666807858</v>
          </cell>
          <cell r="BH205">
            <v>2710.5620653999026</v>
          </cell>
          <cell r="BI205">
            <v>4968.0298456419187</v>
          </cell>
          <cell r="BJ205">
            <v>6570.5801504148239</v>
          </cell>
          <cell r="BK205">
            <v>8157.5794763394679</v>
          </cell>
          <cell r="BL205">
            <v>9582.0714734635749</v>
          </cell>
          <cell r="BM205">
            <v>11342.218301623359</v>
          </cell>
          <cell r="BN205">
            <v>11342.218301623359</v>
          </cell>
          <cell r="BQ205">
            <v>-59.543257413881875</v>
          </cell>
          <cell r="BR205">
            <v>-349.44923915324841</v>
          </cell>
          <cell r="BS205">
            <v>-350.64018530513346</v>
          </cell>
          <cell r="BT205">
            <v>-237.00678580290509</v>
          </cell>
          <cell r="BU205">
            <v>-244.04729018403773</v>
          </cell>
          <cell r="BV205">
            <v>-160.36992493719481</v>
          </cell>
          <cell r="BW205">
            <v>1253.0853651844991</v>
          </cell>
          <cell r="BZ205">
            <v>8.363905307473118</v>
          </cell>
          <cell r="CA205">
            <v>8.5824942065359018</v>
          </cell>
        </row>
        <row r="207">
          <cell r="Q207">
            <v>-858.13925444030838</v>
          </cell>
          <cell r="R207">
            <v>-466.80362350114206</v>
          </cell>
          <cell r="S207">
            <v>-524.43673325358691</v>
          </cell>
          <cell r="T207">
            <v>-46.553767112991636</v>
          </cell>
          <cell r="U207">
            <v>-347.79179454003634</v>
          </cell>
          <cell r="V207">
            <v>99.796590733730909</v>
          </cell>
          <cell r="W207">
            <v>-710.13268822968212</v>
          </cell>
          <cell r="X207">
            <v>-115.15712396569506</v>
          </cell>
          <cell r="Y207">
            <v>-679.57307276283018</v>
          </cell>
          <cell r="Z207">
            <v>-692.65756993725586</v>
          </cell>
          <cell r="AA207">
            <v>-6181.8932052891578</v>
          </cell>
          <cell r="AB207" t="e">
            <v>#VALUE!</v>
          </cell>
          <cell r="AC207" t="e">
            <v>#VALUE!</v>
          </cell>
          <cell r="AD207">
            <v>-5.1909270283301936</v>
          </cell>
          <cell r="AE207">
            <v>-575.97150737537959</v>
          </cell>
          <cell r="AF207">
            <v>29.867994310949371</v>
          </cell>
          <cell r="AG207">
            <v>-1232.857480242016</v>
          </cell>
          <cell r="AH207">
            <v>-383.28004872268616</v>
          </cell>
          <cell r="AI207">
            <v>-561.94133538391907</v>
          </cell>
          <cell r="AJ207">
            <v>-105.97947722535082</v>
          </cell>
          <cell r="AK207">
            <v>-373.29366455117611</v>
          </cell>
          <cell r="AP207">
            <v>24.355469250283022</v>
          </cell>
          <cell r="AQ207">
            <v>-72.077401519894238</v>
          </cell>
          <cell r="AR207">
            <v>374.7182258017076</v>
          </cell>
          <cell r="AS207">
            <v>-83.523574778455895</v>
          </cell>
          <cell r="AT207">
            <v>37.50460213033216</v>
          </cell>
          <cell r="AU207">
            <v>59.425710112359184</v>
          </cell>
          <cell r="AV207">
            <v>25.501870011139772</v>
          </cell>
          <cell r="AY207">
            <v>-593.82544533404143</v>
          </cell>
          <cell r="AZ207">
            <v>-1451.9646997743489</v>
          </cell>
          <cell r="BA207">
            <v>-1918.7683232754916</v>
          </cell>
          <cell r="BB207">
            <v>-2443.2050565290774</v>
          </cell>
          <cell r="BC207">
            <v>-2489.7588236420706</v>
          </cell>
          <cell r="BD207">
            <v>-2837.550618182107</v>
          </cell>
          <cell r="BE207">
            <v>-2737.7540274483763</v>
          </cell>
          <cell r="BH207">
            <v>-604.10238217326332</v>
          </cell>
          <cell r="BI207">
            <v>-1778.9609933064467</v>
          </cell>
          <cell r="BJ207">
            <v>-2162.2410420291317</v>
          </cell>
          <cell r="BK207">
            <v>-2724.1823774130507</v>
          </cell>
          <cell r="BL207">
            <v>-2830.1618546384016</v>
          </cell>
          <cell r="BM207">
            <v>-3203.4555191895788</v>
          </cell>
          <cell r="BN207">
            <v>-3203.4555191895788</v>
          </cell>
          <cell r="BQ207">
            <v>10.276936839222273</v>
          </cell>
          <cell r="BR207">
            <v>326.99629353209616</v>
          </cell>
          <cell r="BS207">
            <v>243.47271875364015</v>
          </cell>
          <cell r="BT207">
            <v>280.97732088397203</v>
          </cell>
          <cell r="BU207">
            <v>340.4030309963307</v>
          </cell>
          <cell r="BV207">
            <v>365.90490100747184</v>
          </cell>
          <cell r="BW207">
            <v>465.70149174120252</v>
          </cell>
          <cell r="BZ207">
            <v>-2.2300335307200356</v>
          </cell>
          <cell r="CA207">
            <v>-2.5349265853694445</v>
          </cell>
        </row>
        <row r="209">
          <cell r="Q209">
            <v>40.036821937128892</v>
          </cell>
          <cell r="R209">
            <v>25.893005499405454</v>
          </cell>
          <cell r="S209">
            <v>5.5265848677800014</v>
          </cell>
          <cell r="T209">
            <v>1.5822323980600004</v>
          </cell>
          <cell r="U209">
            <v>4.3351867676299989</v>
          </cell>
          <cell r="V209">
            <v>31.716771812076669</v>
          </cell>
          <cell r="W209">
            <v>30.122478628093333</v>
          </cell>
          <cell r="X209">
            <v>5.2764389490909096</v>
          </cell>
          <cell r="Y209">
            <v>-1.8040880479999979</v>
          </cell>
          <cell r="Z209">
            <v>-2.3055015394444442</v>
          </cell>
          <cell r="AA209">
            <v>196.03832182802412</v>
          </cell>
          <cell r="AB209">
            <v>0.13664361298893576</v>
          </cell>
          <cell r="AC209">
            <v>4.6182777401568315E-2</v>
          </cell>
          <cell r="AD209">
            <v>0.18282639039050408</v>
          </cell>
          <cell r="AE209">
            <v>14.874000000000001</v>
          </cell>
          <cell r="AF209">
            <v>35.719349956987656</v>
          </cell>
          <cell r="AG209">
            <v>45.633769106525087</v>
          </cell>
          <cell r="AH209">
            <v>29.007659191067077</v>
          </cell>
          <cell r="AI209">
            <v>13.842499999999999</v>
          </cell>
          <cell r="AJ209">
            <v>18.993415301163697</v>
          </cell>
          <cell r="AK209">
            <v>10.192499999999999</v>
          </cell>
          <cell r="AP209">
            <v>-3.6613825587766673</v>
          </cell>
          <cell r="AQ209">
            <v>8.7264231579923432</v>
          </cell>
          <cell r="AR209">
            <v>-5.596947169396195</v>
          </cell>
          <cell r="AS209">
            <v>-3.1146536916616228</v>
          </cell>
          <cell r="AT209">
            <v>-8.3159151322199989</v>
          </cell>
          <cell r="AU209">
            <v>-17.411182903103697</v>
          </cell>
          <cell r="AV209">
            <v>-5.8573132323700001</v>
          </cell>
          <cell r="AY209">
            <v>55.658390556203337</v>
          </cell>
          <cell r="AZ209">
            <v>95.695212493332235</v>
          </cell>
          <cell r="BA209">
            <v>121.58821799273768</v>
          </cell>
          <cell r="BB209">
            <v>127.11480286051768</v>
          </cell>
          <cell r="BC209">
            <v>128.69703525857767</v>
          </cell>
          <cell r="BD209">
            <v>133.03222202620768</v>
          </cell>
          <cell r="BE209">
            <v>164.74899383828435</v>
          </cell>
          <cell r="BH209">
            <v>50.593349956987652</v>
          </cell>
          <cell r="BI209">
            <v>96.227119063512731</v>
          </cell>
          <cell r="BJ209">
            <v>125.23477825457981</v>
          </cell>
          <cell r="BK209">
            <v>139.07727825457982</v>
          </cell>
          <cell r="BL209">
            <v>158.07069355574353</v>
          </cell>
          <cell r="BM209">
            <v>168.26319355574353</v>
          </cell>
          <cell r="BN209">
            <v>168.26319355574353</v>
          </cell>
          <cell r="BQ209">
            <v>5.0650405992156795</v>
          </cell>
          <cell r="BR209">
            <v>-0.53190657018050835</v>
          </cell>
          <cell r="BS209">
            <v>-3.6465602618421329</v>
          </cell>
          <cell r="BT209">
            <v>-11.962475394062128</v>
          </cell>
          <cell r="BU209">
            <v>-29.373658297165818</v>
          </cell>
          <cell r="BV209">
            <v>-35.23097152953585</v>
          </cell>
          <cell r="BW209">
            <v>-3.5141997174591779</v>
          </cell>
          <cell r="BZ209">
            <v>0.11527168864936856</v>
          </cell>
          <cell r="CA209">
            <v>0.14158116180017424</v>
          </cell>
        </row>
        <row r="211">
          <cell r="Q211">
            <v>-898.17607637743731</v>
          </cell>
          <cell r="R211">
            <v>-492.69662900054749</v>
          </cell>
          <cell r="S211">
            <v>-529.96331812136691</v>
          </cell>
          <cell r="T211">
            <v>-48.135999511051637</v>
          </cell>
          <cell r="U211">
            <v>-352.12698130766631</v>
          </cell>
          <cell r="V211">
            <v>68.079818921654237</v>
          </cell>
          <cell r="W211">
            <v>-740.25516685777541</v>
          </cell>
          <cell r="X211">
            <v>-120.43356291478597</v>
          </cell>
          <cell r="Y211">
            <v>-677.76898471483014</v>
          </cell>
          <cell r="Z211">
            <v>-690.35206839781142</v>
          </cell>
          <cell r="AA211">
            <v>-6377.9315271171818</v>
          </cell>
          <cell r="AB211" t="e">
            <v>#VALUE!</v>
          </cell>
          <cell r="AC211" t="e">
            <v>#VALUE!</v>
          </cell>
          <cell r="AD211">
            <v>-5.3737534187206979</v>
          </cell>
          <cell r="AE211">
            <v>-590.84550737537961</v>
          </cell>
          <cell r="AF211">
            <v>-5.8513556460382858</v>
          </cell>
          <cell r="AG211">
            <v>-1278.491249348541</v>
          </cell>
          <cell r="AH211">
            <v>-412.28770791375325</v>
          </cell>
          <cell r="AI211">
            <v>-575.78383538391904</v>
          </cell>
          <cell r="AJ211">
            <v>-124.97289252651451</v>
          </cell>
          <cell r="AK211">
            <v>-383.4861645511761</v>
          </cell>
          <cell r="AP211">
            <v>28.016851809059744</v>
          </cell>
          <cell r="AQ211">
            <v>-80.803824677886581</v>
          </cell>
          <cell r="AR211">
            <v>380.31517297110372</v>
          </cell>
          <cell r="AS211">
            <v>-80.408921086794237</v>
          </cell>
          <cell r="AT211">
            <v>45.82051726255213</v>
          </cell>
          <cell r="AU211">
            <v>76.836893015462877</v>
          </cell>
          <cell r="AV211">
            <v>31.35918324350979</v>
          </cell>
          <cell r="AY211">
            <v>-649.48383589024479</v>
          </cell>
          <cell r="AZ211">
            <v>-1547.6599122676812</v>
          </cell>
          <cell r="BA211">
            <v>-2040.3565412682294</v>
          </cell>
          <cell r="BB211">
            <v>-2570.319859389595</v>
          </cell>
          <cell r="BC211">
            <v>-2618.4558589006483</v>
          </cell>
          <cell r="BD211">
            <v>-2970.5828402083148</v>
          </cell>
          <cell r="BE211">
            <v>-2902.5030212866604</v>
          </cell>
          <cell r="BH211">
            <v>-654.69573213025092</v>
          </cell>
          <cell r="BI211">
            <v>-1875.1881123699593</v>
          </cell>
          <cell r="BJ211">
            <v>-2287.4758202837115</v>
          </cell>
          <cell r="BK211">
            <v>-2863.2596556676308</v>
          </cell>
          <cell r="BL211">
            <v>-2988.2325481941452</v>
          </cell>
          <cell r="BM211">
            <v>-3371.7187127453221</v>
          </cell>
          <cell r="BN211">
            <v>-3371.7187127453221</v>
          </cell>
          <cell r="BQ211">
            <v>5.2118962400065936</v>
          </cell>
          <cell r="BR211">
            <v>327.52820010227668</v>
          </cell>
          <cell r="BS211">
            <v>247.11927901548228</v>
          </cell>
          <cell r="BT211">
            <v>292.93979627803418</v>
          </cell>
          <cell r="BU211">
            <v>369.77668929349653</v>
          </cell>
          <cell r="BV211">
            <v>401.13587253700734</v>
          </cell>
          <cell r="BW211">
            <v>469.21569145866169</v>
          </cell>
          <cell r="BZ211">
            <v>-2.3453052193694042</v>
          </cell>
          <cell r="CA211">
            <v>-2.6765077471696186</v>
          </cell>
        </row>
        <row r="213">
          <cell r="Q213">
            <v>890.21048852006777</v>
          </cell>
          <cell r="R213">
            <v>489.17203684915734</v>
          </cell>
          <cell r="S213">
            <v>526.4204178422068</v>
          </cell>
          <cell r="T213">
            <v>43.394175336371745</v>
          </cell>
          <cell r="U213">
            <v>349.40508194797616</v>
          </cell>
          <cell r="V213">
            <v>-71.192121544294196</v>
          </cell>
          <cell r="W213">
            <v>731.83657163718533</v>
          </cell>
          <cell r="X213">
            <v>67.723031706633833</v>
          </cell>
          <cell r="Y213">
            <v>525.49327769146953</v>
          </cell>
          <cell r="Z213">
            <v>602.33735328808928</v>
          </cell>
          <cell r="AA213">
            <v>4794.4480445924892</v>
          </cell>
          <cell r="AB213" t="e">
            <v>#REF!</v>
          </cell>
          <cell r="AC213" t="e">
            <v>#VALUE!</v>
          </cell>
          <cell r="AD213" t="e">
            <v>#REF!</v>
          </cell>
          <cell r="AE213">
            <v>590.84550737537973</v>
          </cell>
          <cell r="AF213">
            <v>5.8513556460382006</v>
          </cell>
          <cell r="AG213">
            <v>1278.4912493485408</v>
          </cell>
          <cell r="AH213">
            <v>412.28770791375325</v>
          </cell>
          <cell r="AI213">
            <v>575.78383538391915</v>
          </cell>
          <cell r="AJ213">
            <v>124.97289252651456</v>
          </cell>
          <cell r="AK213">
            <v>383.48616455117605</v>
          </cell>
          <cell r="AP213">
            <v>-31.100615840510159</v>
          </cell>
          <cell r="AQ213">
            <v>74.051484136716454</v>
          </cell>
          <cell r="AR213">
            <v>-388.28076082847303</v>
          </cell>
          <cell r="AS213">
            <v>76.884328935404085</v>
          </cell>
          <cell r="AT213">
            <v>-49.363417541712352</v>
          </cell>
          <cell r="AU213">
            <v>-81.578717190142811</v>
          </cell>
          <cell r="AV213">
            <v>-34.081082603199889</v>
          </cell>
          <cell r="AY213">
            <v>846.91361491698945</v>
          </cell>
          <cell r="AZ213">
            <v>1529.8582198376919</v>
          </cell>
          <cell r="BA213">
            <v>2019.030256686849</v>
          </cell>
          <cell r="BB213">
            <v>2545.450674529056</v>
          </cell>
          <cell r="BC213">
            <v>2588.8448498654279</v>
          </cell>
          <cell r="BD213">
            <v>2938.2499318134041</v>
          </cell>
          <cell r="BE213">
            <v>2867.0578102691097</v>
          </cell>
          <cell r="BH213">
            <v>1958.1032157369573</v>
          </cell>
          <cell r="BI213">
            <v>1875.1881123699591</v>
          </cell>
          <cell r="BJ213">
            <v>2287.475820283712</v>
          </cell>
          <cell r="BK213">
            <v>2863.2596556676313</v>
          </cell>
          <cell r="BL213">
            <v>2988.2325481941457</v>
          </cell>
          <cell r="BM213">
            <v>3371.7187127453217</v>
          </cell>
          <cell r="BN213">
            <v>3371.7187127453217</v>
          </cell>
          <cell r="BQ213">
            <v>-1111.1896008199676</v>
          </cell>
          <cell r="BR213">
            <v>-345.32989253226719</v>
          </cell>
          <cell r="BS213">
            <v>-268.44556359686328</v>
          </cell>
          <cell r="BT213">
            <v>-317.80898113857529</v>
          </cell>
          <cell r="BU213">
            <v>-399.38769832871822</v>
          </cell>
          <cell r="BV213">
            <v>-433.46878093191754</v>
          </cell>
          <cell r="BW213">
            <v>-504.66090247621196</v>
          </cell>
          <cell r="BZ213">
            <v>2.3187831553044198</v>
          </cell>
          <cell r="CA213">
            <v>2.6765077471696195</v>
          </cell>
        </row>
        <row r="215">
          <cell r="Q215">
            <v>2.9894620952923319</v>
          </cell>
          <cell r="R215">
            <v>-164.77816799706926</v>
          </cell>
          <cell r="S215">
            <v>-295.41200307049195</v>
          </cell>
          <cell r="T215">
            <v>1.1693489214799122</v>
          </cell>
          <cell r="U215">
            <v>-10.156778040254203</v>
          </cell>
          <cell r="V215">
            <v>2.7434353768728386</v>
          </cell>
          <cell r="W215">
            <v>-93.031746413190135</v>
          </cell>
          <cell r="X215">
            <v>43.998957597113261</v>
          </cell>
          <cell r="Y215">
            <v>24.711978947638865</v>
          </cell>
          <cell r="Z215">
            <v>189.83435812515449</v>
          </cell>
          <cell r="AA215">
            <v>759.39219859510604</v>
          </cell>
          <cell r="AB215">
            <v>0.59382894509799877</v>
          </cell>
          <cell r="AC215" t="e">
            <v>#VALUE!</v>
          </cell>
          <cell r="AD215">
            <v>0.90598130732779336</v>
          </cell>
          <cell r="AE215">
            <v>34.883341659996759</v>
          </cell>
          <cell r="AF215">
            <v>828.78595952418698</v>
          </cell>
          <cell r="AG215">
            <v>36.778636096465263</v>
          </cell>
          <cell r="AH215">
            <v>-103.89689032556608</v>
          </cell>
          <cell r="AI215">
            <v>-242.52994766108284</v>
          </cell>
          <cell r="AJ215">
            <v>52.087356112903294</v>
          </cell>
          <cell r="AK215">
            <v>40.920096609244311</v>
          </cell>
          <cell r="AP215">
            <v>-20.444387593865255</v>
          </cell>
          <cell r="AQ215">
            <v>214.09843946224112</v>
          </cell>
          <cell r="AR215">
            <v>-33.789174001172931</v>
          </cell>
          <cell r="AS215">
            <v>-60.881277671503184</v>
          </cell>
          <cell r="AT215">
            <v>-52.882055409409105</v>
          </cell>
          <cell r="AU215">
            <v>-50.918007191423385</v>
          </cell>
          <cell r="AV215">
            <v>-51.076874649498514</v>
          </cell>
          <cell r="AY215">
            <v>1057.3233530525597</v>
          </cell>
          <cell r="AZ215">
            <v>1060.3128151478522</v>
          </cell>
          <cell r="BA215">
            <v>895.53464715078269</v>
          </cell>
          <cell r="BB215">
            <v>600.12264408029068</v>
          </cell>
          <cell r="BC215">
            <v>601.29199300177049</v>
          </cell>
          <cell r="BD215">
            <v>591.13521496151668</v>
          </cell>
          <cell r="BE215">
            <v>593.87865033838955</v>
          </cell>
          <cell r="BH215">
            <v>863.66930118418372</v>
          </cell>
          <cell r="BI215">
            <v>900.44793728064883</v>
          </cell>
          <cell r="BJ215">
            <v>796.55104695508282</v>
          </cell>
          <cell r="BK215">
            <v>554.0210992939999</v>
          </cell>
          <cell r="BL215">
            <v>606.10845540690343</v>
          </cell>
          <cell r="BM215">
            <v>647.02855201614761</v>
          </cell>
          <cell r="BN215">
            <v>647.02855201614761</v>
          </cell>
          <cell r="BQ215">
            <v>193.65405186837592</v>
          </cell>
          <cell r="BR215">
            <v>159.86487786720298</v>
          </cell>
          <cell r="BS215">
            <v>98.983600195699808</v>
          </cell>
          <cell r="BT215">
            <v>46.101544786290731</v>
          </cell>
          <cell r="BU215">
            <v>-4.8164624051326967</v>
          </cell>
          <cell r="BV215">
            <v>-55.893337054630933</v>
          </cell>
          <cell r="BW215">
            <v>-53.149901677758066</v>
          </cell>
          <cell r="BZ215">
            <v>0.53856674526648618</v>
          </cell>
          <cell r="CA215">
            <v>0.54288076659293216</v>
          </cell>
        </row>
        <row r="216">
          <cell r="Q216">
            <v>50.937557258403459</v>
          </cell>
          <cell r="R216">
            <v>37.39597355783981</v>
          </cell>
          <cell r="S216">
            <v>28.940566820708035</v>
          </cell>
          <cell r="T216">
            <v>30.712036930479918</v>
          </cell>
          <cell r="U216">
            <v>35.931942268301334</v>
          </cell>
          <cell r="V216">
            <v>84.686021780539505</v>
          </cell>
          <cell r="W216">
            <v>19.657021299809866</v>
          </cell>
          <cell r="X216">
            <v>156.90923406822435</v>
          </cell>
          <cell r="Y216">
            <v>37.102043533638863</v>
          </cell>
          <cell r="Z216">
            <v>219.22892079860355</v>
          </cell>
          <cell r="AA216">
            <v>1857.9286864009418</v>
          </cell>
          <cell r="AB216">
            <v>1.3273924406620223</v>
          </cell>
          <cell r="AC216">
            <v>0.31215236222979464</v>
          </cell>
          <cell r="AD216">
            <v>1.6395448028918169</v>
          </cell>
          <cell r="AE216">
            <v>60.376594117647059</v>
          </cell>
          <cell r="AF216">
            <v>907.19443251295115</v>
          </cell>
          <cell r="AG216">
            <v>88.734204559688919</v>
          </cell>
          <cell r="AH216">
            <v>42.168021793740976</v>
          </cell>
          <cell r="AI216">
            <v>57.148968347815327</v>
          </cell>
          <cell r="AJ216">
            <v>74.831563446766765</v>
          </cell>
          <cell r="AK216">
            <v>92.394756404912712</v>
          </cell>
          <cell r="AP216">
            <v>-21.052551138182217</v>
          </cell>
          <cell r="AQ216">
            <v>209.90889259197706</v>
          </cell>
          <cell r="AR216">
            <v>-37.796647301285461</v>
          </cell>
          <cell r="AS216">
            <v>-4.7720482359011669</v>
          </cell>
          <cell r="AT216">
            <v>-28.208401527107291</v>
          </cell>
          <cell r="AU216">
            <v>-44.119526516286847</v>
          </cell>
          <cell r="AV216">
            <v>-56.462814136611378</v>
          </cell>
          <cell r="AY216">
            <v>1156.427368084393</v>
          </cell>
          <cell r="AZ216">
            <v>1207.3649253427966</v>
          </cell>
          <cell r="BA216">
            <v>1244.7608989006362</v>
          </cell>
          <cell r="BB216">
            <v>1273.7014657213442</v>
          </cell>
          <cell r="BC216">
            <v>1304.413502651824</v>
          </cell>
          <cell r="BD216">
            <v>1340.3454449201256</v>
          </cell>
          <cell r="BE216">
            <v>1425.0314667006651</v>
          </cell>
          <cell r="BH216">
            <v>967.57102663059823</v>
          </cell>
          <cell r="BI216">
            <v>1056.305231190287</v>
          </cell>
          <cell r="BJ216">
            <v>1098.473252984028</v>
          </cell>
          <cell r="BK216">
            <v>1155.6222213318433</v>
          </cell>
          <cell r="BL216">
            <v>1230.4537847786103</v>
          </cell>
          <cell r="BM216">
            <v>1322.8485411835227</v>
          </cell>
          <cell r="BN216">
            <v>1322.8485411835227</v>
          </cell>
          <cell r="BQ216">
            <v>188.85634145379476</v>
          </cell>
          <cell r="BR216">
            <v>151.05969415250931</v>
          </cell>
          <cell r="BS216">
            <v>146.28764591660814</v>
          </cell>
          <cell r="BT216">
            <v>118.07924438950084</v>
          </cell>
          <cell r="BU216">
            <v>73.959717873214018</v>
          </cell>
          <cell r="BV216">
            <v>17.496903736602917</v>
          </cell>
          <cell r="BW216">
            <v>102.18292551714239</v>
          </cell>
          <cell r="BZ216">
            <v>1.1683404116155947</v>
          </cell>
          <cell r="CA216">
            <v>1.1020959829529851</v>
          </cell>
        </row>
        <row r="217">
          <cell r="Q217">
            <v>47.948095163111127</v>
          </cell>
          <cell r="R217">
            <v>202.17414155490908</v>
          </cell>
          <cell r="S217">
            <v>324.35256989120001</v>
          </cell>
          <cell r="T217">
            <v>29.542688009000006</v>
          </cell>
          <cell r="U217">
            <v>46.088720308555537</v>
          </cell>
          <cell r="V217">
            <v>81.942586403666667</v>
          </cell>
          <cell r="W217">
            <v>112.688767713</v>
          </cell>
          <cell r="X217">
            <v>112.91027647111109</v>
          </cell>
          <cell r="Y217">
            <v>12.390064585999998</v>
          </cell>
          <cell r="Z217">
            <v>29.394562673449055</v>
          </cell>
          <cell r="AA217">
            <v>1098.5364878058358</v>
          </cell>
          <cell r="AB217">
            <v>0.73356349556402356</v>
          </cell>
          <cell r="AC217" t="str">
            <v/>
          </cell>
          <cell r="AD217">
            <v>0.73356349556402356</v>
          </cell>
          <cell r="AE217">
            <v>25.493252457650296</v>
          </cell>
          <cell r="AF217">
            <v>78.408472988764188</v>
          </cell>
          <cell r="AG217">
            <v>51.955568463223656</v>
          </cell>
          <cell r="AH217">
            <v>146.06491211930705</v>
          </cell>
          <cell r="AI217">
            <v>299.67891600889817</v>
          </cell>
          <cell r="AJ217">
            <v>22.744207333863471</v>
          </cell>
          <cell r="AK217">
            <v>51.474659795668401</v>
          </cell>
          <cell r="AP217">
            <v>-0.60816354431695885</v>
          </cell>
          <cell r="AQ217">
            <v>-4.1895468702641807</v>
          </cell>
          <cell r="AR217">
            <v>-4.0074733001125296</v>
          </cell>
          <cell r="AS217">
            <v>56.109229435602032</v>
          </cell>
          <cell r="AT217">
            <v>24.673653882301835</v>
          </cell>
          <cell r="AU217">
            <v>6.7984806751365348</v>
          </cell>
          <cell r="AV217">
            <v>-5.3859394871128643</v>
          </cell>
          <cell r="AY217">
            <v>99.104015031833342</v>
          </cell>
          <cell r="AZ217">
            <v>147.05211019494448</v>
          </cell>
          <cell r="BA217">
            <v>349.22625174985353</v>
          </cell>
          <cell r="BB217">
            <v>673.57882164105354</v>
          </cell>
          <cell r="BC217">
            <v>703.12150965005355</v>
          </cell>
          <cell r="BD217">
            <v>749.21022995860903</v>
          </cell>
          <cell r="BE217">
            <v>831.15281636227564</v>
          </cell>
          <cell r="BH217">
            <v>103.90172544641449</v>
          </cell>
          <cell r="BI217">
            <v>155.85729390963814</v>
          </cell>
          <cell r="BJ217">
            <v>301.9222060289452</v>
          </cell>
          <cell r="BK217">
            <v>601.60112203784342</v>
          </cell>
          <cell r="BL217">
            <v>624.34532937170684</v>
          </cell>
          <cell r="BM217">
            <v>675.8199891673753</v>
          </cell>
          <cell r="BN217">
            <v>675.8199891673753</v>
          </cell>
          <cell r="BQ217">
            <v>-4.7977104145811467</v>
          </cell>
          <cell r="BR217">
            <v>-8.8051837146936691</v>
          </cell>
          <cell r="BS217">
            <v>47.304045720908334</v>
          </cell>
          <cell r="BT217">
            <v>71.977699603210112</v>
          </cell>
          <cell r="BU217">
            <v>78.776180278346715</v>
          </cell>
          <cell r="BV217">
            <v>73.390240791233737</v>
          </cell>
          <cell r="BW217">
            <v>155.33282719490035</v>
          </cell>
          <cell r="BZ217">
            <v>0.6297736663491087</v>
          </cell>
          <cell r="CA217">
            <v>0.55921521636005278</v>
          </cell>
        </row>
        <row r="219">
          <cell r="Q219">
            <v>206.27681502049001</v>
          </cell>
          <cell r="R219">
            <v>639.88448619985002</v>
          </cell>
          <cell r="S219">
            <v>652.53199717977998</v>
          </cell>
          <cell r="T219">
            <v>248.23939259432001</v>
          </cell>
          <cell r="U219">
            <v>304.01528822100011</v>
          </cell>
          <cell r="V219">
            <v>420.99438568722007</v>
          </cell>
          <cell r="W219">
            <v>46.367790962989829</v>
          </cell>
          <cell r="X219">
            <v>583.99450135899986</v>
          </cell>
          <cell r="Y219">
            <v>70.188505643999989</v>
          </cell>
          <cell r="Z219">
            <v>-202.6288738400001</v>
          </cell>
          <cell r="AA219">
            <v>4055.4105103676493</v>
          </cell>
          <cell r="AB219" t="e">
            <v>#REF!</v>
          </cell>
          <cell r="AC219" t="e">
            <v>#REF!</v>
          </cell>
          <cell r="AD219" t="e">
            <v>#REF!</v>
          </cell>
          <cell r="AE219">
            <v>257.41269150581837</v>
          </cell>
          <cell r="AF219">
            <v>166.61080914380179</v>
          </cell>
          <cell r="AG219">
            <v>202.07436370859196</v>
          </cell>
          <cell r="AH219">
            <v>577.5588673884979</v>
          </cell>
          <cell r="AI219">
            <v>367.08218172257608</v>
          </cell>
          <cell r="AJ219">
            <v>346.06187568583243</v>
          </cell>
          <cell r="AK219">
            <v>117.1763798686485</v>
          </cell>
          <cell r="AP219">
            <v>602.54650179418172</v>
          </cell>
          <cell r="AQ219">
            <v>58.97621889519823</v>
          </cell>
          <cell r="AR219">
            <v>4.2024513118980451</v>
          </cell>
          <cell r="AS219">
            <v>62.325618811352115</v>
          </cell>
          <cell r="AT219">
            <v>285.4498154572039</v>
          </cell>
          <cell r="AU219">
            <v>-97.822483091512424</v>
          </cell>
          <cell r="AV219">
            <v>186.83890835235161</v>
          </cell>
          <cell r="AY219">
            <v>1085.5462213389999</v>
          </cell>
          <cell r="AZ219">
            <v>1291.8230363594898</v>
          </cell>
          <cell r="BA219">
            <v>1931.7075225593398</v>
          </cell>
          <cell r="BB219">
            <v>2584.2395197391197</v>
          </cell>
          <cell r="BC219">
            <v>2832.4789123334403</v>
          </cell>
          <cell r="BD219">
            <v>3136.4942005544403</v>
          </cell>
          <cell r="BE219">
            <v>3557.4885862416604</v>
          </cell>
          <cell r="BH219">
            <v>424.02350064962013</v>
          </cell>
          <cell r="BI219">
            <v>626.09786435821229</v>
          </cell>
          <cell r="BJ219">
            <v>1203.6567317467102</v>
          </cell>
          <cell r="BK219">
            <v>1570.7389134692862</v>
          </cell>
          <cell r="BL219">
            <v>1916.8007891551183</v>
          </cell>
          <cell r="BM219">
            <v>2033.9771690237667</v>
          </cell>
          <cell r="BN219">
            <v>2033.9771690237667</v>
          </cell>
          <cell r="BQ219">
            <v>661.52272068937975</v>
          </cell>
          <cell r="BR219">
            <v>665.72517200127766</v>
          </cell>
          <cell r="BS219">
            <v>728.05079081262954</v>
          </cell>
          <cell r="BT219">
            <v>1013.5006062698337</v>
          </cell>
          <cell r="BU219">
            <v>915.67812317832113</v>
          </cell>
          <cell r="BV219">
            <v>1102.5170315306736</v>
          </cell>
          <cell r="BW219">
            <v>1523.5114172178937</v>
          </cell>
          <cell r="BZ219">
            <v>2.5370019335130012</v>
          </cell>
          <cell r="CA219">
            <v>1.7168450176526209</v>
          </cell>
        </row>
        <row r="220">
          <cell r="Q220">
            <v>462.70712472049001</v>
          </cell>
          <cell r="R220">
            <v>1088.91101183302</v>
          </cell>
          <cell r="S220">
            <v>927.42099089452995</v>
          </cell>
          <cell r="T220">
            <v>395.50859826532002</v>
          </cell>
          <cell r="U220">
            <v>828.39575822100005</v>
          </cell>
          <cell r="V220">
            <v>692.66227908200005</v>
          </cell>
          <cell r="W220">
            <v>559.36255331399991</v>
          </cell>
          <cell r="X220">
            <v>641.7194013589999</v>
          </cell>
          <cell r="Y220">
            <v>155.74210564399999</v>
          </cell>
          <cell r="Z220">
            <v>149.57612615999989</v>
          </cell>
          <cell r="AA220">
            <v>7196.4493439323596</v>
          </cell>
          <cell r="AB220" t="e">
            <v>#REF!</v>
          </cell>
          <cell r="AC220" t="e">
            <v>#REF!</v>
          </cell>
          <cell r="AD220" t="e">
            <v>#REF!</v>
          </cell>
          <cell r="AE220">
            <v>396.71800000000002</v>
          </cell>
          <cell r="AF220">
            <v>230.15110914380179</v>
          </cell>
          <cell r="AG220">
            <v>437.34327619978995</v>
          </cell>
          <cell r="AH220">
            <v>997.21158021495796</v>
          </cell>
          <cell r="AI220">
            <v>670.7728257158501</v>
          </cell>
          <cell r="AJ220">
            <v>511.91857889883244</v>
          </cell>
          <cell r="AK220">
            <v>714.08966999580252</v>
          </cell>
          <cell r="AP220">
            <v>617.52199999999993</v>
          </cell>
          <cell r="AQ220">
            <v>50.052285295198232</v>
          </cell>
          <cell r="AR220">
            <v>25.36384852070006</v>
          </cell>
          <cell r="AS220">
            <v>91.699431618062022</v>
          </cell>
          <cell r="AT220">
            <v>256.64816517867985</v>
          </cell>
          <cell r="AU220">
            <v>-116.40998063351242</v>
          </cell>
          <cell r="AV220">
            <v>114.30608822519753</v>
          </cell>
          <cell r="AY220">
            <v>1294.4433944389998</v>
          </cell>
          <cell r="AZ220">
            <v>1757.1505191594899</v>
          </cell>
          <cell r="BA220">
            <v>2846.0615309925097</v>
          </cell>
          <cell r="BB220">
            <v>3773.4825218870396</v>
          </cell>
          <cell r="BC220">
            <v>4168.9911201523601</v>
          </cell>
          <cell r="BD220">
            <v>4997.3868783733597</v>
          </cell>
          <cell r="BE220">
            <v>5690.0491574553598</v>
          </cell>
          <cell r="BH220">
            <v>626.86910914380178</v>
          </cell>
          <cell r="BI220">
            <v>1064.2123853435919</v>
          </cell>
          <cell r="BJ220">
            <v>2061.4239655585498</v>
          </cell>
          <cell r="BK220">
            <v>2732.1967912743999</v>
          </cell>
          <cell r="BL220">
            <v>3244.1153701732319</v>
          </cell>
          <cell r="BM220">
            <v>3958.2050401690349</v>
          </cell>
          <cell r="BN220">
            <v>3958.2050401690349</v>
          </cell>
          <cell r="BQ220">
            <v>667.57428529519814</v>
          </cell>
          <cell r="BR220">
            <v>692.93813381589803</v>
          </cell>
          <cell r="BS220">
            <v>784.63756543395994</v>
          </cell>
          <cell r="BT220">
            <v>1041.28573061264</v>
          </cell>
          <cell r="BU220">
            <v>924.87574997912748</v>
          </cell>
          <cell r="BV220">
            <v>1039.1818382043248</v>
          </cell>
          <cell r="BW220">
            <v>1731.8441172863249</v>
          </cell>
          <cell r="BZ220">
            <v>3.7340925952072799</v>
          </cell>
          <cell r="CA220">
            <v>2.9056975255248991</v>
          </cell>
        </row>
        <row r="221">
          <cell r="Q221">
            <v>256.43030970000001</v>
          </cell>
          <cell r="R221">
            <v>449.02652563316997</v>
          </cell>
          <cell r="S221">
            <v>274.88899371474997</v>
          </cell>
          <cell r="T221">
            <v>147.26920567100001</v>
          </cell>
          <cell r="U221">
            <v>524.38046999999995</v>
          </cell>
          <cell r="V221">
            <v>271.66789339477998</v>
          </cell>
          <cell r="W221">
            <v>512.99476235101008</v>
          </cell>
          <cell r="X221">
            <v>57.724899999999998</v>
          </cell>
          <cell r="Y221">
            <v>85.553600000000003</v>
          </cell>
          <cell r="Z221">
            <v>352.20499999999998</v>
          </cell>
          <cell r="AA221">
            <v>3141.0388335647103</v>
          </cell>
          <cell r="AB221">
            <v>3.150803278221824</v>
          </cell>
          <cell r="AC221">
            <v>4.460308481439193E-2</v>
          </cell>
          <cell r="AD221">
            <v>3.1954063630362164</v>
          </cell>
          <cell r="AE221">
            <v>139.30530849418165</v>
          </cell>
          <cell r="AF221">
            <v>63.540300000000002</v>
          </cell>
          <cell r="AG221">
            <v>235.26891249119799</v>
          </cell>
          <cell r="AH221">
            <v>419.65271282646</v>
          </cell>
          <cell r="AI221">
            <v>303.69064399327402</v>
          </cell>
          <cell r="AJ221">
            <v>165.856703213</v>
          </cell>
          <cell r="AK221">
            <v>596.91329012715403</v>
          </cell>
          <cell r="AP221">
            <v>14.975498205818354</v>
          </cell>
          <cell r="AQ221">
            <v>-8.9239336000000051</v>
          </cell>
          <cell r="AR221">
            <v>21.161397208802015</v>
          </cell>
          <cell r="AS221">
            <v>29.373812806709964</v>
          </cell>
          <cell r="AT221">
            <v>-28.80165027852405</v>
          </cell>
          <cell r="AU221">
            <v>-18.587497541999994</v>
          </cell>
          <cell r="AV221">
            <v>-72.532820127154082</v>
          </cell>
          <cell r="AY221">
            <v>208.8971731</v>
          </cell>
          <cell r="AZ221">
            <v>465.32748279999998</v>
          </cell>
          <cell r="BA221">
            <v>914.35400843316995</v>
          </cell>
          <cell r="BB221">
            <v>1189.2430021479199</v>
          </cell>
          <cell r="BC221">
            <v>1336.5122078189199</v>
          </cell>
          <cell r="BD221">
            <v>1860.8926778189198</v>
          </cell>
          <cell r="BE221">
            <v>2132.5605712136999</v>
          </cell>
          <cell r="BH221">
            <v>202.84560849418165</v>
          </cell>
          <cell r="BI221">
            <v>438.11452098537961</v>
          </cell>
          <cell r="BJ221">
            <v>857.76723381183956</v>
          </cell>
          <cell r="BK221">
            <v>1161.4578778051136</v>
          </cell>
          <cell r="BL221">
            <v>1327.3145810181136</v>
          </cell>
          <cell r="BM221">
            <v>1924.2278711452677</v>
          </cell>
          <cell r="BN221">
            <v>1924.2278711452677</v>
          </cell>
          <cell r="BQ221">
            <v>6.0515646058183563</v>
          </cell>
          <cell r="BR221">
            <v>27.212961814620371</v>
          </cell>
          <cell r="BS221">
            <v>56.586774621330392</v>
          </cell>
          <cell r="BT221">
            <v>27.785124342806284</v>
          </cell>
          <cell r="BU221">
            <v>9.1976268008063471</v>
          </cell>
          <cell r="BV221">
            <v>-63.335193326347962</v>
          </cell>
          <cell r="BW221">
            <v>208.33270006843213</v>
          </cell>
          <cell r="BZ221">
            <v>1.1970906616942789</v>
          </cell>
          <cell r="CA221">
            <v>1.188852507872278</v>
          </cell>
        </row>
        <row r="223">
          <cell r="Q223">
            <v>1.5</v>
          </cell>
          <cell r="R223">
            <v>1.7</v>
          </cell>
          <cell r="S223">
            <v>0</v>
          </cell>
          <cell r="T223">
            <v>531.70000000000005</v>
          </cell>
          <cell r="U223">
            <v>6.7278700999999996E-2</v>
          </cell>
          <cell r="V223">
            <v>0</v>
          </cell>
          <cell r="W223">
            <v>0</v>
          </cell>
          <cell r="X223">
            <v>0</v>
          </cell>
          <cell r="Y223">
            <v>0</v>
          </cell>
          <cell r="Z223">
            <v>0</v>
          </cell>
          <cell r="AA223">
            <v>699.42638120100003</v>
          </cell>
          <cell r="AB223">
            <v>0.44292034051667567</v>
          </cell>
          <cell r="AC223" t="str">
            <v/>
          </cell>
          <cell r="AD223">
            <v>0.44292034051667567</v>
          </cell>
          <cell r="AE223">
            <v>0</v>
          </cell>
          <cell r="AF223">
            <v>161.71041390315327</v>
          </cell>
          <cell r="AG223">
            <v>0</v>
          </cell>
          <cell r="AH223">
            <v>0</v>
          </cell>
          <cell r="AI223">
            <v>0</v>
          </cell>
          <cell r="AJ223">
            <v>0</v>
          </cell>
          <cell r="AK223">
            <v>535</v>
          </cell>
          <cell r="AP223">
            <v>0</v>
          </cell>
          <cell r="AQ223">
            <v>2.7486885968467334</v>
          </cell>
          <cell r="AR223">
            <v>1.5</v>
          </cell>
          <cell r="AS223">
            <v>1.7</v>
          </cell>
          <cell r="AT223">
            <v>0</v>
          </cell>
          <cell r="AU223">
            <v>531.70000000000005</v>
          </cell>
          <cell r="AV223">
            <v>-534.93272129900004</v>
          </cell>
          <cell r="AY223">
            <v>164.4591025</v>
          </cell>
          <cell r="AZ223">
            <v>165.9591025</v>
          </cell>
          <cell r="BA223">
            <v>167.65910250000002</v>
          </cell>
          <cell r="BB223">
            <v>167.65910250000002</v>
          </cell>
          <cell r="BC223">
            <v>699.35910250000006</v>
          </cell>
          <cell r="BD223">
            <v>699.42638120100003</v>
          </cell>
          <cell r="BE223">
            <v>699.42638120100003</v>
          </cell>
          <cell r="BH223">
            <v>161.71041390315327</v>
          </cell>
          <cell r="BI223">
            <v>161.71041390315327</v>
          </cell>
          <cell r="BJ223">
            <v>161.71041390315327</v>
          </cell>
          <cell r="BK223">
            <v>161.71041390315327</v>
          </cell>
          <cell r="BL223">
            <v>161.71041390315327</v>
          </cell>
          <cell r="BM223">
            <v>696.71041390315327</v>
          </cell>
          <cell r="BN223">
            <v>696.71041390315327</v>
          </cell>
          <cell r="BQ223">
            <v>2.7486885968467392</v>
          </cell>
          <cell r="BR223">
            <v>4.2486885968467387</v>
          </cell>
          <cell r="BS223">
            <v>5.9486885968467389</v>
          </cell>
          <cell r="BT223">
            <v>5.9486885968467389</v>
          </cell>
          <cell r="BU223">
            <v>537.6486885968468</v>
          </cell>
          <cell r="BV223">
            <v>2.7159672978467597</v>
          </cell>
          <cell r="BW223">
            <v>2.7159672978467597</v>
          </cell>
          <cell r="BZ223">
            <v>0.62640374392081233</v>
          </cell>
          <cell r="CA223">
            <v>0.14484119580029256</v>
          </cell>
        </row>
        <row r="225">
          <cell r="Q225">
            <v>565.83517064273622</v>
          </cell>
          <cell r="R225">
            <v>42.685130151915928</v>
          </cell>
          <cell r="S225">
            <v>121.74199531563303</v>
          </cell>
          <cell r="T225">
            <v>-716.07373198375967</v>
          </cell>
          <cell r="U225">
            <v>52.654882650232103</v>
          </cell>
          <cell r="V225">
            <v>-437.69818666688025</v>
          </cell>
          <cell r="W225">
            <v>746.83107923199123</v>
          </cell>
          <cell r="X225">
            <v>-565.43032128721893</v>
          </cell>
          <cell r="Y225">
            <v>459.90283069623837</v>
          </cell>
          <cell r="Z225">
            <v>1576.7389019964503</v>
          </cell>
          <cell r="AA225">
            <v>386.77268877276822</v>
          </cell>
          <cell r="AB225">
            <v>0.45947304115191756</v>
          </cell>
          <cell r="AC225" t="e">
            <v>#VALUE!</v>
          </cell>
          <cell r="AD225">
            <v>0.36190379312043519</v>
          </cell>
          <cell r="AE225">
            <v>508.70000000000005</v>
          </cell>
          <cell r="AF225">
            <v>0</v>
          </cell>
          <cell r="AG225">
            <v>0</v>
          </cell>
          <cell r="AH225">
            <v>0</v>
          </cell>
          <cell r="AI225">
            <v>0</v>
          </cell>
          <cell r="AJ225">
            <v>0</v>
          </cell>
          <cell r="AK225">
            <v>0</v>
          </cell>
          <cell r="AP225">
            <v>-728.72774775733319</v>
          </cell>
          <cell r="AQ225">
            <v>-1240.387314217237</v>
          </cell>
          <cell r="AR225">
            <v>565.83517064273622</v>
          </cell>
          <cell r="AS225">
            <v>42.685130151915928</v>
          </cell>
          <cell r="AT225">
            <v>121.74199531563303</v>
          </cell>
          <cell r="AU225">
            <v>-716.07373198375967</v>
          </cell>
          <cell r="AV225">
            <v>52.654882650232103</v>
          </cell>
          <cell r="AY225">
            <v>-1460.4150619745701</v>
          </cell>
          <cell r="AZ225">
            <v>-894.57989133183389</v>
          </cell>
          <cell r="BA225">
            <v>-851.89476117991796</v>
          </cell>
          <cell r="BB225">
            <v>-730.1527658642849</v>
          </cell>
          <cell r="BC225">
            <v>-1446.2264978480446</v>
          </cell>
          <cell r="BD225">
            <v>-1393.5716151978124</v>
          </cell>
          <cell r="BE225">
            <v>-1831.2698018646927</v>
          </cell>
          <cell r="BH225">
            <v>508.70000000000005</v>
          </cell>
          <cell r="BI225">
            <v>508.70000000000005</v>
          </cell>
          <cell r="BJ225">
            <v>508.70000000000005</v>
          </cell>
          <cell r="BK225">
            <v>508.70000000000005</v>
          </cell>
          <cell r="BL225">
            <v>508.70000000000005</v>
          </cell>
          <cell r="BM225">
            <v>508.70000000000005</v>
          </cell>
          <cell r="BN225">
            <v>508.70000000000005</v>
          </cell>
          <cell r="BQ225">
            <v>-1969.1150619745699</v>
          </cell>
          <cell r="BR225">
            <v>-1403.2798913318338</v>
          </cell>
          <cell r="BS225">
            <v>-1360.5947611799179</v>
          </cell>
          <cell r="BT225">
            <v>-1238.8527658642849</v>
          </cell>
          <cell r="BU225">
            <v>-1954.9264978480446</v>
          </cell>
          <cell r="BV225">
            <v>-1902.2716151978125</v>
          </cell>
          <cell r="BW225">
            <v>-2339.9698018646927</v>
          </cell>
          <cell r="BZ225">
            <v>-1.2953598367006307</v>
          </cell>
          <cell r="CA225">
            <v>0.45563371291434246</v>
          </cell>
        </row>
        <row r="226">
          <cell r="Q226">
            <v>-30.112321813264227</v>
          </cell>
          <cell r="R226">
            <v>293.96046498791429</v>
          </cell>
          <cell r="S226">
            <v>131.99697951248331</v>
          </cell>
          <cell r="T226">
            <v>-429.1030702787582</v>
          </cell>
          <cell r="U226">
            <v>53.862612822234006</v>
          </cell>
          <cell r="V226">
            <v>222.47641698612006</v>
          </cell>
          <cell r="W226">
            <v>264.01452723499602</v>
          </cell>
          <cell r="X226">
            <v>46.525055275661792</v>
          </cell>
          <cell r="Y226">
            <v>54.253219819235881</v>
          </cell>
          <cell r="Z226">
            <v>578.56029855644999</v>
          </cell>
          <cell r="AA226">
            <v>603.55169489150296</v>
          </cell>
          <cell r="AB226">
            <v>0.3713819486434935</v>
          </cell>
          <cell r="AC226" t="str">
            <v/>
          </cell>
          <cell r="AD226">
            <v>0.3713819486434935</v>
          </cell>
          <cell r="AE226">
            <v>538.70000000000005</v>
          </cell>
          <cell r="AF226">
            <v>0</v>
          </cell>
          <cell r="AG226">
            <v>0</v>
          </cell>
          <cell r="AH226">
            <v>0</v>
          </cell>
          <cell r="AI226">
            <v>0</v>
          </cell>
          <cell r="AJ226">
            <v>0</v>
          </cell>
          <cell r="AK226">
            <v>0</v>
          </cell>
          <cell r="AP226">
            <v>-305.24850433333336</v>
          </cell>
          <cell r="AQ226">
            <v>-816.33398387823672</v>
          </cell>
          <cell r="AR226">
            <v>-30.112321813264227</v>
          </cell>
          <cell r="AS226">
            <v>293.96046498791429</v>
          </cell>
          <cell r="AT226">
            <v>131.99697951248331</v>
          </cell>
          <cell r="AU226">
            <v>-429.1030702787582</v>
          </cell>
          <cell r="AV226">
            <v>53.862612822234006</v>
          </cell>
          <cell r="AY226">
            <v>-582.88248821157003</v>
          </cell>
          <cell r="AZ226">
            <v>-612.99481002483424</v>
          </cell>
          <cell r="BA226">
            <v>-319.03434503691994</v>
          </cell>
          <cell r="BB226">
            <v>-187.03736552443661</v>
          </cell>
          <cell r="BC226">
            <v>-616.1404358031948</v>
          </cell>
          <cell r="BD226">
            <v>-562.27782298096076</v>
          </cell>
          <cell r="BE226">
            <v>-339.80140599484071</v>
          </cell>
          <cell r="BH226">
            <v>538.70000000000005</v>
          </cell>
          <cell r="BI226">
            <v>538.70000000000005</v>
          </cell>
          <cell r="BJ226">
            <v>538.70000000000005</v>
          </cell>
          <cell r="BK226">
            <v>538.70000000000005</v>
          </cell>
          <cell r="BL226">
            <v>538.70000000000005</v>
          </cell>
          <cell r="BM226">
            <v>538.70000000000005</v>
          </cell>
          <cell r="BN226">
            <v>538.70000000000005</v>
          </cell>
          <cell r="BQ226">
            <v>-1121.5824882115699</v>
          </cell>
          <cell r="BR226">
            <v>-1151.6948100248342</v>
          </cell>
          <cell r="BS226">
            <v>-857.73434503691999</v>
          </cell>
          <cell r="BT226">
            <v>-725.73736552443665</v>
          </cell>
          <cell r="BU226">
            <v>-1154.8404358031949</v>
          </cell>
          <cell r="BV226">
            <v>-1100.9778229809608</v>
          </cell>
          <cell r="BW226">
            <v>-878.50140599484075</v>
          </cell>
          <cell r="BZ226">
            <v>-0.55186623637049481</v>
          </cell>
          <cell r="CA226">
            <v>0.48250418939838075</v>
          </cell>
        </row>
        <row r="227">
          <cell r="Q227">
            <v>595.94749245600042</v>
          </cell>
          <cell r="R227">
            <v>-251.27533483599836</v>
          </cell>
          <cell r="S227">
            <v>-10.254984196850273</v>
          </cell>
          <cell r="T227">
            <v>-286.97066170500148</v>
          </cell>
          <cell r="U227">
            <v>-1.2077301720019022</v>
          </cell>
          <cell r="V227">
            <v>-660.1746036530003</v>
          </cell>
          <cell r="W227">
            <v>482.81655199699526</v>
          </cell>
          <cell r="X227">
            <v>-611.9553765628807</v>
          </cell>
          <cell r="Y227">
            <v>405.64961087700249</v>
          </cell>
          <cell r="Z227">
            <v>998.17860344000019</v>
          </cell>
          <cell r="AA227">
            <v>-216.77900611873474</v>
          </cell>
          <cell r="AB227">
            <v>8.8091092508424063E-2</v>
          </cell>
          <cell r="AC227">
            <v>-9.7569248031482342E-2</v>
          </cell>
          <cell r="AD227">
            <v>-9.4781555230582879E-3</v>
          </cell>
          <cell r="AE227">
            <v>-30</v>
          </cell>
          <cell r="AF227">
            <v>0</v>
          </cell>
          <cell r="AG227">
            <v>0</v>
          </cell>
          <cell r="AH227">
            <v>0</v>
          </cell>
          <cell r="AI227">
            <v>0</v>
          </cell>
          <cell r="AJ227">
            <v>0</v>
          </cell>
          <cell r="AK227">
            <v>0</v>
          </cell>
          <cell r="AP227">
            <v>-423.47924342399983</v>
          </cell>
          <cell r="AQ227">
            <v>-424.05333033900024</v>
          </cell>
          <cell r="AR227">
            <v>595.94749245600042</v>
          </cell>
          <cell r="AS227">
            <v>-251.27533483599836</v>
          </cell>
          <cell r="AT227">
            <v>-10.254984196850273</v>
          </cell>
          <cell r="AU227">
            <v>-286.97066170500148</v>
          </cell>
          <cell r="AV227">
            <v>-1.2077301720019022</v>
          </cell>
          <cell r="AY227">
            <v>-877.53257376300007</v>
          </cell>
          <cell r="AZ227">
            <v>-281.58508130699965</v>
          </cell>
          <cell r="BA227">
            <v>-532.86041614299802</v>
          </cell>
          <cell r="BB227">
            <v>-543.11540033984829</v>
          </cell>
          <cell r="BC227">
            <v>-830.08606204484977</v>
          </cell>
          <cell r="BD227">
            <v>-831.29379221685167</v>
          </cell>
          <cell r="BE227">
            <v>-1491.468395869852</v>
          </cell>
          <cell r="BH227">
            <v>-30</v>
          </cell>
          <cell r="BI227">
            <v>-30</v>
          </cell>
          <cell r="BJ227">
            <v>-30</v>
          </cell>
          <cell r="BK227">
            <v>-30</v>
          </cell>
          <cell r="BL227">
            <v>-30</v>
          </cell>
          <cell r="BM227">
            <v>-30</v>
          </cell>
          <cell r="BN227">
            <v>-30</v>
          </cell>
          <cell r="BQ227">
            <v>-847.53257376300007</v>
          </cell>
          <cell r="BR227">
            <v>-251.58508130699965</v>
          </cell>
          <cell r="BS227">
            <v>-502.86041614299802</v>
          </cell>
          <cell r="BT227">
            <v>-513.11540033984829</v>
          </cell>
          <cell r="BU227">
            <v>-800.08606204484977</v>
          </cell>
          <cell r="BV227">
            <v>-801.29379221685167</v>
          </cell>
          <cell r="BW227">
            <v>-1461.468395869852</v>
          </cell>
          <cell r="BZ227">
            <v>-0.7434936003301359</v>
          </cell>
          <cell r="CA227">
            <v>-2.6870476484038279E-2</v>
          </cell>
        </row>
        <row r="229">
          <cell r="Q229">
            <v>113.60904076154917</v>
          </cell>
          <cell r="R229">
            <v>-30.31941150553935</v>
          </cell>
          <cell r="S229">
            <v>47.558428417285803</v>
          </cell>
          <cell r="T229">
            <v>-21.640834195668504</v>
          </cell>
          <cell r="U229">
            <v>2.8244104159981589</v>
          </cell>
          <cell r="V229">
            <v>-57.23175594150689</v>
          </cell>
          <cell r="W229">
            <v>31.669447855394424</v>
          </cell>
          <cell r="X229">
            <v>5.1598940377396048</v>
          </cell>
          <cell r="Y229">
            <v>-29.310037596407653</v>
          </cell>
          <cell r="Z229">
            <v>-961.60703299351542</v>
          </cell>
          <cell r="AA229">
            <v>-1106.553734344036</v>
          </cell>
          <cell r="AB229">
            <v>0</v>
          </cell>
          <cell r="AC229">
            <v>0</v>
          </cell>
          <cell r="AD229">
            <v>0</v>
          </cell>
          <cell r="AE229">
            <v>-210.15052579043538</v>
          </cell>
          <cell r="AF229">
            <v>-1151.2558269251037</v>
          </cell>
          <cell r="AG229">
            <v>1039.6382495434837</v>
          </cell>
          <cell r="AH229">
            <v>-61.374269149178588</v>
          </cell>
          <cell r="AI229">
            <v>451.23160132242594</v>
          </cell>
          <cell r="AJ229">
            <v>-273.17633927222118</v>
          </cell>
          <cell r="AK229">
            <v>-309.61031192671675</v>
          </cell>
          <cell r="AP229">
            <v>115.52501771650657</v>
          </cell>
          <cell r="AQ229">
            <v>1038.6154513996673</v>
          </cell>
          <cell r="AR229">
            <v>-926.02920878193447</v>
          </cell>
          <cell r="AS229">
            <v>31.054857643639238</v>
          </cell>
          <cell r="AT229">
            <v>-403.67317290514012</v>
          </cell>
          <cell r="AU229">
            <v>251.53550507655268</v>
          </cell>
          <cell r="AV229">
            <v>312.43472234271491</v>
          </cell>
          <cell r="AY229">
            <v>0</v>
          </cell>
          <cell r="AZ229">
            <v>-93.656842837816058</v>
          </cell>
          <cell r="BA229">
            <v>-123.97625434335541</v>
          </cell>
          <cell r="BB229">
            <v>-76.417825926069611</v>
          </cell>
          <cell r="BC229">
            <v>-98.058660121738114</v>
          </cell>
          <cell r="BD229">
            <v>-95.234249705739956</v>
          </cell>
          <cell r="BE229">
            <v>-152.46600564724685</v>
          </cell>
          <cell r="BH229">
            <v>0</v>
          </cell>
          <cell r="BI229">
            <v>-321.76810317205536</v>
          </cell>
          <cell r="BJ229">
            <v>-383.14237232123395</v>
          </cell>
          <cell r="BK229">
            <v>68.089229001191995</v>
          </cell>
          <cell r="BL229">
            <v>-205.08711027102919</v>
          </cell>
          <cell r="BM229">
            <v>-514.69742219774594</v>
          </cell>
          <cell r="BN229">
            <v>-514.69742219774594</v>
          </cell>
          <cell r="BQ229">
            <v>0</v>
          </cell>
          <cell r="BR229">
            <v>228.11126033423932</v>
          </cell>
          <cell r="BS229">
            <v>259.16611797787857</v>
          </cell>
          <cell r="BT229">
            <v>-144.50705492726161</v>
          </cell>
          <cell r="BU229">
            <v>107.02845014929107</v>
          </cell>
          <cell r="BV229">
            <v>419.46317249200598</v>
          </cell>
          <cell r="BW229">
            <v>362.23141655049909</v>
          </cell>
          <cell r="BZ229">
            <v>-8.7829430695248872E-2</v>
          </cell>
          <cell r="CA229">
            <v>-0.18369294579056852</v>
          </cell>
        </row>
        <row r="231">
          <cell r="Q231">
            <v>-0.768620355215615</v>
          </cell>
          <cell r="R231">
            <v>-0.41810785959837654</v>
          </cell>
          <cell r="S231">
            <v>-0.46972883027521212</v>
          </cell>
          <cell r="T231">
            <v>-4.1697396815101213E-2</v>
          </cell>
          <cell r="U231">
            <v>-0.31151104121765066</v>
          </cell>
          <cell r="V231">
            <v>8.9386064816596972E-2</v>
          </cell>
          <cell r="W231">
            <v>-0.6360534566540853</v>
          </cell>
          <cell r="X231">
            <v>-0.10314422638298967</v>
          </cell>
          <cell r="Y231">
            <v>-0.60868174236197548</v>
          </cell>
          <cell r="Z231">
            <v>-0.62040129814967115</v>
          </cell>
          <cell r="AA231">
            <v>-5.5370138666519448</v>
          </cell>
          <cell r="AB231" t="e">
            <v>#VALUE!</v>
          </cell>
          <cell r="AC231" t="e">
            <v>#VALUE!</v>
          </cell>
          <cell r="AD231">
            <v>-4.6494227548368391E-3</v>
          </cell>
          <cell r="AE231">
            <v>-0.51588762814687394</v>
          </cell>
          <cell r="AF231">
            <v>2.675224129192514E-2</v>
          </cell>
          <cell r="AG231">
            <v>-1.1042489310337926</v>
          </cell>
          <cell r="AH231">
            <v>-0.34329725120013282</v>
          </cell>
          <cell r="AI231">
            <v>-0.50332104792808885</v>
          </cell>
          <cell r="AJ231">
            <v>-9.4923968352481985E-2</v>
          </cell>
          <cell r="AK231">
            <v>-0.33435262116542841</v>
          </cell>
          <cell r="AP231">
            <v>2.1814768791581562E-2</v>
          </cell>
          <cell r="AQ231">
            <v>-6.4558470752363428E-2</v>
          </cell>
          <cell r="AR231">
            <v>0.33562857581817762</v>
          </cell>
          <cell r="AS231">
            <v>-7.4810608398243716E-2</v>
          </cell>
          <cell r="AT231">
            <v>3.3592217652876732E-2</v>
          </cell>
          <cell r="AU231">
            <v>5.3226571537380772E-2</v>
          </cell>
          <cell r="AV231">
            <v>-2.2841579947777746E-2</v>
          </cell>
          <cell r="AY231">
            <v>-0.53187908881573065</v>
          </cell>
          <cell r="AZ231">
            <v>-1.3004994440313449</v>
          </cell>
          <cell r="BA231">
            <v>-1.7186073036297218</v>
          </cell>
          <cell r="BB231">
            <v>-2.188336133904933</v>
          </cell>
          <cell r="BC231">
            <v>-2.2300335307200356</v>
          </cell>
          <cell r="BD231">
            <v>-2.5415445719376861</v>
          </cell>
          <cell r="BE231">
            <v>-2.452158507121089</v>
          </cell>
          <cell r="BH231">
            <v>-0.54108396180460594</v>
          </cell>
          <cell r="BI231">
            <v>-1.5933843178887419</v>
          </cell>
          <cell r="BJ231">
            <v>-1.9366815690888737</v>
          </cell>
          <cell r="BK231">
            <v>-2.4400026170169626</v>
          </cell>
          <cell r="BL231">
            <v>-2.5349265853694445</v>
          </cell>
          <cell r="BM231">
            <v>-2.8692792065348733</v>
          </cell>
          <cell r="BN231">
            <v>-2.8692792065348733</v>
          </cell>
          <cell r="BQ231">
            <v>9.2048729888756248E-3</v>
          </cell>
          <cell r="BR231">
            <v>0.29288487385739564</v>
          </cell>
          <cell r="BS231">
            <v>0.21807426545915179</v>
          </cell>
          <cell r="BT231">
            <v>0.25166648311202827</v>
          </cell>
          <cell r="BU231">
            <v>0.30489305464940863</v>
          </cell>
          <cell r="BV231">
            <v>0.32773463459718721</v>
          </cell>
          <cell r="BW231">
            <v>0.41712069941378438</v>
          </cell>
        </row>
        <row r="232">
          <cell r="Q232">
            <v>-0.76727683139141312</v>
          </cell>
          <cell r="R232">
            <v>-0.41658519926428106</v>
          </cell>
          <cell r="S232">
            <v>-0.46972883027521212</v>
          </cell>
          <cell r="T232">
            <v>0.4345370147370039</v>
          </cell>
          <cell r="U232">
            <v>-0.31145078085921407</v>
          </cell>
          <cell r="V232">
            <v>8.9386064816596972E-2</v>
          </cell>
          <cell r="W232">
            <v>-0.6360534566540853</v>
          </cell>
          <cell r="X232">
            <v>-0.10314422638298967</v>
          </cell>
          <cell r="Y232">
            <v>-0.60868174236197548</v>
          </cell>
          <cell r="Z232">
            <v>-0.62040129814967115</v>
          </cell>
          <cell r="AA232">
            <v>-4.9105498623726955</v>
          </cell>
          <cell r="AB232" t="e">
            <v>#VALUE!</v>
          </cell>
          <cell r="AC232" t="e">
            <v>#VALUE!</v>
          </cell>
          <cell r="AD232">
            <v>-4.2527067350316538E-3</v>
          </cell>
          <cell r="AE232">
            <v>-0.51588762814687394</v>
          </cell>
          <cell r="AF232">
            <v>0.17159343709221769</v>
          </cell>
          <cell r="AG232">
            <v>-1.1042489310337926</v>
          </cell>
          <cell r="AH232">
            <v>-0.34329725120013282</v>
          </cell>
          <cell r="AI232">
            <v>-0.50332104792808885</v>
          </cell>
          <cell r="AJ232">
            <v>-9.4923968352481985E-2</v>
          </cell>
          <cell r="AK232">
            <v>0.14483754279992095</v>
          </cell>
          <cell r="AP232">
            <v>2.1814768791581562E-2</v>
          </cell>
          <cell r="AQ232">
            <v>-6.209651834224629E-2</v>
          </cell>
          <cell r="AR232">
            <v>0.33697209964237951</v>
          </cell>
          <cell r="AS232">
            <v>-7.3287948064148234E-2</v>
          </cell>
          <cell r="AT232">
            <v>3.3592217652876732E-2</v>
          </cell>
          <cell r="AU232">
            <v>0.52946098308948586</v>
          </cell>
          <cell r="AV232">
            <v>0.45628832365913502</v>
          </cell>
          <cell r="AY232">
            <v>-0.38457594060532102</v>
          </cell>
          <cell r="AZ232">
            <v>-1.1518527719967331</v>
          </cell>
          <cell r="BA232">
            <v>-1.568437971261015</v>
          </cell>
          <cell r="BB232">
            <v>-2.0381668015362262</v>
          </cell>
          <cell r="BC232">
            <v>-1.6036297867992235</v>
          </cell>
          <cell r="BD232">
            <v>-1.9150805676584373</v>
          </cell>
          <cell r="BE232">
            <v>-1.8256945028418403</v>
          </cell>
          <cell r="BH232">
            <v>-0.39624276600431341</v>
          </cell>
          <cell r="BI232">
            <v>-1.4485431220884493</v>
          </cell>
          <cell r="BJ232">
            <v>-1.791840373288581</v>
          </cell>
          <cell r="BK232">
            <v>-2.2951614212166698</v>
          </cell>
          <cell r="BL232">
            <v>-2.3900853895691516</v>
          </cell>
          <cell r="BM232">
            <v>-2.2452478467692316</v>
          </cell>
          <cell r="BN232">
            <v>-2.2452478467692316</v>
          </cell>
          <cell r="BQ232">
            <v>1.1666825398992775E-2</v>
          </cell>
          <cell r="BR232">
            <v>0.29669035009171468</v>
          </cell>
          <cell r="BS232">
            <v>0.22340240202756637</v>
          </cell>
          <cell r="BT232">
            <v>0.25699461968044285</v>
          </cell>
          <cell r="BU232">
            <v>0.78645560276992843</v>
          </cell>
          <cell r="BV232">
            <v>0.33016727911079435</v>
          </cell>
          <cell r="BW232">
            <v>0.4195533439273913</v>
          </cell>
        </row>
      </sheetData>
      <sheetData sheetId="1" refreshError="1"/>
      <sheetData sheetId="2" refreshError="1"/>
      <sheetData sheetId="3" refreshError="1"/>
      <sheetData sheetId="4" refreshError="1">
        <row r="7">
          <cell r="C7" t="str">
            <v>Plan Finan.</v>
          </cell>
          <cell r="E7" t="str">
            <v>Plan Financiero</v>
          </cell>
          <cell r="F7" t="str">
            <v>Plan Financiero</v>
          </cell>
          <cell r="G7" t="str">
            <v>Actual</v>
          </cell>
          <cell r="H7" t="str">
            <v>Escenario</v>
          </cell>
          <cell r="I7" t="str">
            <v>Diferencias</v>
          </cell>
          <cell r="J7" t="str">
            <v>Diferencias</v>
          </cell>
          <cell r="K7" t="str">
            <v>Diferencias</v>
          </cell>
          <cell r="L7" t="str">
            <v>Var. %</v>
          </cell>
          <cell r="M7" t="str">
            <v>Var. %</v>
          </cell>
          <cell r="N7" t="str">
            <v>Var.%</v>
          </cell>
          <cell r="O7" t="str">
            <v>% PIB</v>
          </cell>
          <cell r="P7" t="str">
            <v>% PIB</v>
          </cell>
          <cell r="Q7" t="str">
            <v>% PIB</v>
          </cell>
        </row>
        <row r="8">
          <cell r="C8" t="str">
            <v>Dic 20/96</v>
          </cell>
          <cell r="E8" t="str">
            <v>Dic20/96</v>
          </cell>
          <cell r="F8" t="str">
            <v>Mar07/97</v>
          </cell>
          <cell r="G8">
            <v>1997</v>
          </cell>
          <cell r="H8" t="str">
            <v>Alternativo</v>
          </cell>
          <cell r="I8">
            <v>1997</v>
          </cell>
          <cell r="J8">
            <v>1997</v>
          </cell>
          <cell r="K8">
            <v>1996</v>
          </cell>
          <cell r="L8" t="str">
            <v>P.F. Dic20-97/96</v>
          </cell>
          <cell r="M8" t="str">
            <v>P.F. Mar07-97/96</v>
          </cell>
          <cell r="N8" t="str">
            <v>Actual/96</v>
          </cell>
          <cell r="O8" t="str">
            <v>P.F. Dic20/96</v>
          </cell>
          <cell r="P8" t="str">
            <v>P.F. Mar07/97</v>
          </cell>
          <cell r="Q8" t="str">
            <v>Actual</v>
          </cell>
        </row>
        <row r="9">
          <cell r="C9">
            <v>1</v>
          </cell>
          <cell r="E9">
            <v>2</v>
          </cell>
          <cell r="F9">
            <v>2</v>
          </cell>
          <cell r="G9">
            <v>3</v>
          </cell>
          <cell r="I9" t="str">
            <v>5=3-2</v>
          </cell>
          <cell r="J9" t="str">
            <v>4=3-2</v>
          </cell>
          <cell r="K9" t="str">
            <v>3=2-1</v>
          </cell>
          <cell r="L9">
            <v>7</v>
          </cell>
          <cell r="M9">
            <v>5</v>
          </cell>
          <cell r="N9" t="str">
            <v>6=3/1</v>
          </cell>
          <cell r="O9">
            <v>10</v>
          </cell>
          <cell r="P9">
            <v>7</v>
          </cell>
          <cell r="Q9">
            <v>8</v>
          </cell>
        </row>
        <row r="11">
          <cell r="C11">
            <v>12004378.989300001</v>
          </cell>
          <cell r="E11">
            <v>14505177</v>
          </cell>
          <cell r="F11">
            <v>15137015.515000002</v>
          </cell>
          <cell r="G11">
            <v>14482198.458000001</v>
          </cell>
          <cell r="H11">
            <v>14154523.199999999</v>
          </cell>
          <cell r="I11">
            <v>631838.51500000246</v>
          </cell>
          <cell r="J11">
            <v>-654817.05700000189</v>
          </cell>
          <cell r="K11">
            <v>48989.000900000334</v>
          </cell>
          <cell r="L11">
            <v>20.341277324258613</v>
          </cell>
          <cell r="M11">
            <v>25.583285329935677</v>
          </cell>
          <cell r="N11">
            <v>20.150637313776198</v>
          </cell>
          <cell r="O11">
            <v>13.057849175859474</v>
          </cell>
          <cell r="P11">
            <v>13.557960647811004</v>
          </cell>
          <cell r="Q11">
            <v>13.067324726148918</v>
          </cell>
        </row>
        <row r="12">
          <cell r="C12">
            <v>10516955.6931</v>
          </cell>
          <cell r="E12">
            <v>12882399</v>
          </cell>
          <cell r="F12">
            <v>13620616.300000003</v>
          </cell>
          <cell r="G12">
            <v>12862955.058</v>
          </cell>
          <cell r="H12">
            <v>12522745.799999999</v>
          </cell>
          <cell r="I12">
            <v>738217.30000000261</v>
          </cell>
          <cell r="J12">
            <v>-757661.24200000241</v>
          </cell>
          <cell r="K12">
            <v>-13452.759099999443</v>
          </cell>
          <cell r="L12">
            <v>22.648597148475822</v>
          </cell>
          <cell r="M12">
            <v>29.676893371542356</v>
          </cell>
          <cell r="N12">
            <v>22.463478506417299</v>
          </cell>
          <cell r="O12">
            <v>11.596992106007592</v>
          </cell>
          <cell r="P12">
            <v>12.199748332908618</v>
          </cell>
          <cell r="Q12">
            <v>11.606277262959027</v>
          </cell>
        </row>
        <row r="13">
          <cell r="C13">
            <v>10210273.6931</v>
          </cell>
          <cell r="E13">
            <v>12491331</v>
          </cell>
          <cell r="F13">
            <v>13087082.000000002</v>
          </cell>
          <cell r="G13">
            <v>12329420.800000001</v>
          </cell>
          <cell r="H13">
            <v>12135562.799999999</v>
          </cell>
          <cell r="I13">
            <v>595751.00000000186</v>
          </cell>
          <cell r="J13">
            <v>-757661.20000000112</v>
          </cell>
          <cell r="K13">
            <v>-38558.759099999443</v>
          </cell>
          <cell r="L13">
            <v>22.804572100683295</v>
          </cell>
          <cell r="M13">
            <v>28.661509734755629</v>
          </cell>
          <cell r="N13">
            <v>21.212803150702221</v>
          </cell>
          <cell r="O13">
            <v>11.244944905100978</v>
          </cell>
          <cell r="P13">
            <v>11.721870970856022</v>
          </cell>
          <cell r="Q13">
            <v>11.124867936741733</v>
          </cell>
        </row>
        <row r="14">
          <cell r="C14">
            <v>3856038.1</v>
          </cell>
          <cell r="E14">
            <v>4723222</v>
          </cell>
          <cell r="F14">
            <v>4723106.5999999996</v>
          </cell>
          <cell r="G14">
            <v>4723106.5999999996</v>
          </cell>
          <cell r="H14">
            <v>4723106.5999999996</v>
          </cell>
          <cell r="I14">
            <v>-115.40000000037253</v>
          </cell>
          <cell r="J14">
            <v>0</v>
          </cell>
          <cell r="K14">
            <v>0</v>
          </cell>
          <cell r="L14">
            <v>22.488986817842903</v>
          </cell>
          <cell r="M14">
            <v>22.485994108823746</v>
          </cell>
          <cell r="N14">
            <v>22.485994108823746</v>
          </cell>
          <cell r="O14">
            <v>4.2519384975516896</v>
          </cell>
          <cell r="P14">
            <v>4.2304041608968657</v>
          </cell>
          <cell r="Q14">
            <v>4.2616711708106561</v>
          </cell>
        </row>
        <row r="15">
          <cell r="C15">
            <v>3166088.8</v>
          </cell>
          <cell r="E15">
            <v>3955483</v>
          </cell>
          <cell r="F15">
            <v>3955462.2</v>
          </cell>
          <cell r="G15">
            <v>3955462.2</v>
          </cell>
          <cell r="H15">
            <v>3955483</v>
          </cell>
          <cell r="I15">
            <v>-20.799999999813735</v>
          </cell>
          <cell r="J15">
            <v>0</v>
          </cell>
          <cell r="K15">
            <v>0</v>
          </cell>
          <cell r="L15">
            <v>24.93278773482286</v>
          </cell>
          <cell r="M15">
            <v>24.932130772832405</v>
          </cell>
          <cell r="N15">
            <v>24.932130772832405</v>
          </cell>
          <cell r="O15">
            <v>3.5608045618247992</v>
          </cell>
          <cell r="P15">
            <v>3.5428384676200775</v>
          </cell>
          <cell r="Q15">
            <v>3.5690236644185198</v>
          </cell>
        </row>
        <row r="16">
          <cell r="C16">
            <v>1574237.4510000001</v>
          </cell>
          <cell r="E16">
            <v>1918504</v>
          </cell>
          <cell r="F16">
            <v>1889979.5</v>
          </cell>
          <cell r="G16">
            <v>1756987</v>
          </cell>
          <cell r="H16">
            <v>1623994.5</v>
          </cell>
          <cell r="I16">
            <v>-28524.5</v>
          </cell>
          <cell r="J16">
            <v>-132992.5</v>
          </cell>
          <cell r="K16">
            <v>0</v>
          </cell>
          <cell r="L16">
            <v>21.868781534914696</v>
          </cell>
          <cell r="M16">
            <v>20.05682489636056</v>
          </cell>
          <cell r="N16">
            <v>11.60876644650477</v>
          </cell>
          <cell r="O16">
            <v>1.7270755038206773</v>
          </cell>
          <cell r="P16">
            <v>1.6928216570021475</v>
          </cell>
          <cell r="Q16">
            <v>1.5853338659324572</v>
          </cell>
        </row>
        <row r="17">
          <cell r="C17">
            <v>912709.549</v>
          </cell>
          <cell r="E17">
            <v>1086222</v>
          </cell>
          <cell r="F17">
            <v>1083587.8</v>
          </cell>
          <cell r="G17">
            <v>1018663</v>
          </cell>
          <cell r="H17">
            <v>953738.2</v>
          </cell>
          <cell r="I17">
            <v>-2634.1999999999534</v>
          </cell>
          <cell r="J17">
            <v>-64924.800000000047</v>
          </cell>
          <cell r="K17">
            <v>0</v>
          </cell>
          <cell r="L17">
            <v>19.010697454640081</v>
          </cell>
          <cell r="M17">
            <v>18.722084280505324</v>
          </cell>
          <cell r="N17">
            <v>11.608671248820258</v>
          </cell>
          <cell r="O17">
            <v>0.97783867425405624</v>
          </cell>
          <cell r="P17">
            <v>0.97055068327635918</v>
          </cell>
          <cell r="Q17">
            <v>0.91914223148626284</v>
          </cell>
        </row>
        <row r="18">
          <cell r="C18">
            <v>675739.2182</v>
          </cell>
          <cell r="E18">
            <v>790400</v>
          </cell>
          <cell r="F18">
            <v>790433.5</v>
          </cell>
          <cell r="G18">
            <v>797972</v>
          </cell>
          <cell r="H18">
            <v>805510.5</v>
          </cell>
          <cell r="I18">
            <v>33.5</v>
          </cell>
          <cell r="J18">
            <v>7538.5</v>
          </cell>
          <cell r="K18">
            <v>-38558.759099999908</v>
          </cell>
          <cell r="L18">
            <v>24.046490866405158</v>
          </cell>
          <cell r="M18">
            <v>24.051748403657204</v>
          </cell>
          <cell r="N18">
            <v>25.234851226780176</v>
          </cell>
          <cell r="O18">
            <v>0.71153381917361835</v>
          </cell>
          <cell r="P18">
            <v>0.70797749246486907</v>
          </cell>
          <cell r="Q18">
            <v>0.72001217747533397</v>
          </cell>
        </row>
        <row r="19">
          <cell r="C19">
            <v>25460.5749</v>
          </cell>
          <cell r="E19">
            <v>17500</v>
          </cell>
          <cell r="F19">
            <v>17530</v>
          </cell>
          <cell r="G19">
            <v>17530</v>
          </cell>
          <cell r="H19">
            <v>17530</v>
          </cell>
          <cell r="I19">
            <v>30</v>
          </cell>
          <cell r="J19">
            <v>0</v>
          </cell>
          <cell r="K19">
            <v>0</v>
          </cell>
          <cell r="L19">
            <v>-31.266281029655772</v>
          </cell>
          <cell r="M19">
            <v>-31.148451797135181</v>
          </cell>
          <cell r="N19">
            <v>-31.148451797135181</v>
          </cell>
          <cell r="O19">
            <v>1.5753848476136537E-2</v>
          </cell>
          <cell r="P19">
            <v>1.5701315092173034E-2</v>
          </cell>
          <cell r="Q19">
            <v>1.5817363856303987E-2</v>
          </cell>
        </row>
        <row r="20">
          <cell r="C20">
            <v>0</v>
          </cell>
          <cell r="E20">
            <v>0</v>
          </cell>
          <cell r="F20">
            <v>626982.40000000002</v>
          </cell>
          <cell r="G20">
            <v>59700</v>
          </cell>
          <cell r="H20">
            <v>56200</v>
          </cell>
          <cell r="I20">
            <v>626982.40000000002</v>
          </cell>
          <cell r="J20">
            <v>-567282.4</v>
          </cell>
          <cell r="K20">
            <v>0</v>
          </cell>
          <cell r="L20" t="str">
            <v>n.a.</v>
          </cell>
          <cell r="M20" t="str">
            <v>n.a.</v>
          </cell>
          <cell r="N20" t="str">
            <v>n.a.</v>
          </cell>
          <cell r="O20" t="str">
            <v/>
          </cell>
          <cell r="P20">
            <v>0.56157719450352939</v>
          </cell>
          <cell r="Q20">
            <v>5.3867462762198969E-2</v>
          </cell>
        </row>
        <row r="21">
          <cell r="C21">
            <v>0</v>
          </cell>
          <cell r="E21">
            <v>0</v>
          </cell>
          <cell r="F21">
            <v>446095.4</v>
          </cell>
          <cell r="G21">
            <v>59700</v>
          </cell>
          <cell r="H21">
            <v>56200</v>
          </cell>
          <cell r="I21">
            <v>446095.4</v>
          </cell>
          <cell r="J21">
            <v>-386395.4</v>
          </cell>
          <cell r="K21">
            <v>0</v>
          </cell>
          <cell r="L21" t="str">
            <v>n.a.</v>
          </cell>
          <cell r="M21" t="str">
            <v>n.a.</v>
          </cell>
          <cell r="N21" t="str">
            <v>n.a.</v>
          </cell>
          <cell r="O21" t="str">
            <v/>
          </cell>
          <cell r="P21">
            <v>0.39955986517792169</v>
          </cell>
          <cell r="Q21">
            <v>5.3867462762198969E-2</v>
          </cell>
        </row>
        <row r="22">
          <cell r="F22">
            <v>180887</v>
          </cell>
          <cell r="G22">
            <v>0</v>
          </cell>
          <cell r="H22">
            <v>0</v>
          </cell>
          <cell r="I22">
            <v>180887</v>
          </cell>
          <cell r="J22">
            <v>-180887</v>
          </cell>
          <cell r="K22">
            <v>0</v>
          </cell>
          <cell r="L22" t="str">
            <v>n.a.</v>
          </cell>
          <cell r="M22" t="str">
            <v>n.a.</v>
          </cell>
          <cell r="N22" t="str">
            <v>n.a.</v>
          </cell>
          <cell r="O22" t="str">
            <v/>
          </cell>
          <cell r="P22">
            <v>0.16201732932560772</v>
          </cell>
          <cell r="Q22" t="str">
            <v/>
          </cell>
        </row>
        <row r="23">
          <cell r="C23">
            <v>0</v>
          </cell>
          <cell r="E23">
            <v>0</v>
          </cell>
          <cell r="F23">
            <v>114412</v>
          </cell>
          <cell r="G23">
            <v>0</v>
          </cell>
          <cell r="H23">
            <v>57206</v>
          </cell>
          <cell r="I23">
            <v>114412</v>
          </cell>
          <cell r="J23">
            <v>-114412</v>
          </cell>
          <cell r="K23">
            <v>0</v>
          </cell>
          <cell r="L23" t="str">
            <v>n.a.</v>
          </cell>
          <cell r="M23" t="str">
            <v>n.a.</v>
          </cell>
          <cell r="N23" t="str">
            <v>n.a.</v>
          </cell>
          <cell r="O23" t="str">
            <v/>
          </cell>
          <cell r="P23">
            <v>0.10247683184972625</v>
          </cell>
          <cell r="Q23" t="str">
            <v/>
          </cell>
        </row>
        <row r="24">
          <cell r="C24">
            <v>0</v>
          </cell>
          <cell r="E24">
            <v>0</v>
          </cell>
          <cell r="F24">
            <v>16667</v>
          </cell>
          <cell r="G24">
            <v>0</v>
          </cell>
          <cell r="I24">
            <v>16667</v>
          </cell>
          <cell r="J24">
            <v>-16667</v>
          </cell>
          <cell r="K24">
            <v>0</v>
          </cell>
          <cell r="L24" t="str">
            <v>n.a.</v>
          </cell>
          <cell r="M24" t="str">
            <v>n.a.</v>
          </cell>
          <cell r="N24" t="str">
            <v>n.a.</v>
          </cell>
          <cell r="O24" t="str">
            <v/>
          </cell>
          <cell r="P24">
            <v>1.4928341051982199E-2</v>
          </cell>
          <cell r="Q24" t="str">
            <v/>
          </cell>
        </row>
        <row r="25">
          <cell r="C25">
            <v>0</v>
          </cell>
          <cell r="E25">
            <v>0</v>
          </cell>
          <cell r="F25">
            <v>4366</v>
          </cell>
          <cell r="G25">
            <v>0</v>
          </cell>
          <cell r="I25">
            <v>4366</v>
          </cell>
          <cell r="J25">
            <v>-4366</v>
          </cell>
          <cell r="K25">
            <v>0</v>
          </cell>
          <cell r="L25" t="str">
            <v>n.a.</v>
          </cell>
          <cell r="M25" t="str">
            <v>n.a.</v>
          </cell>
          <cell r="N25" t="str">
            <v>n.a.</v>
          </cell>
          <cell r="O25" t="str">
            <v/>
          </cell>
          <cell r="P25">
            <v>3.9105500109770375E-3</v>
          </cell>
          <cell r="Q25" t="str">
            <v/>
          </cell>
        </row>
        <row r="26">
          <cell r="C26">
            <v>0</v>
          </cell>
          <cell r="E26">
            <v>0</v>
          </cell>
          <cell r="F26">
            <v>45442</v>
          </cell>
          <cell r="G26">
            <v>0</v>
          </cell>
          <cell r="H26">
            <v>15147.333333333334</v>
          </cell>
          <cell r="I26">
            <v>45442</v>
          </cell>
          <cell r="J26">
            <v>-45442</v>
          </cell>
          <cell r="K26">
            <v>0</v>
          </cell>
          <cell r="L26" t="str">
            <v>n.a.</v>
          </cell>
          <cell r="M26" t="str">
            <v>n.a.</v>
          </cell>
          <cell r="N26" t="str">
            <v>n.a.</v>
          </cell>
          <cell r="O26" t="str">
            <v/>
          </cell>
          <cell r="P26">
            <v>4.0701606412922253E-2</v>
          </cell>
          <cell r="Q26" t="str">
            <v/>
          </cell>
        </row>
        <row r="27">
          <cell r="C27">
            <v>306682</v>
          </cell>
          <cell r="E27">
            <v>391068</v>
          </cell>
          <cell r="F27">
            <v>533534.30000000005</v>
          </cell>
          <cell r="G27">
            <v>533534.25800000003</v>
          </cell>
          <cell r="H27">
            <v>387183</v>
          </cell>
          <cell r="I27">
            <v>142466.30000000005</v>
          </cell>
          <cell r="J27">
            <v>-4.2000000015832484E-2</v>
          </cell>
          <cell r="K27">
            <v>25105.999999999942</v>
          </cell>
          <cell r="L27">
            <v>17.866830626785802</v>
          </cell>
          <cell r="M27">
            <v>60.805785622144292</v>
          </cell>
          <cell r="N27">
            <v>60.805772963458637</v>
          </cell>
          <cell r="O27">
            <v>0.35204720090661507</v>
          </cell>
          <cell r="P27">
            <v>0.47787736205259412</v>
          </cell>
          <cell r="Q27">
            <v>0.48140932621729415</v>
          </cell>
        </row>
        <row r="28">
          <cell r="C28">
            <v>266943</v>
          </cell>
          <cell r="E28">
            <v>324380</v>
          </cell>
          <cell r="F28">
            <v>334537.59999999998</v>
          </cell>
          <cell r="G28">
            <v>334537.59999999998</v>
          </cell>
          <cell r="H28">
            <v>334537.59999999998</v>
          </cell>
          <cell r="I28">
            <v>10157.599999999977</v>
          </cell>
          <cell r="J28">
            <v>0</v>
          </cell>
          <cell r="K28">
            <v>899.99999999994179</v>
          </cell>
          <cell r="L28">
            <v>21.108261182857156</v>
          </cell>
          <cell r="M28">
            <v>24.900632086707517</v>
          </cell>
          <cell r="N28">
            <v>24.900632086707517</v>
          </cell>
          <cell r="O28">
            <v>0.29201333535366686</v>
          </cell>
          <cell r="P28">
            <v>0.29963949046088678</v>
          </cell>
          <cell r="Q28">
            <v>0.30185413250511578</v>
          </cell>
        </row>
        <row r="29">
          <cell r="F29">
            <v>146351.29999999999</v>
          </cell>
          <cell r="G29">
            <v>146351.258</v>
          </cell>
          <cell r="I29">
            <v>146351.29999999999</v>
          </cell>
          <cell r="J29">
            <v>-4.1999999986728653E-2</v>
          </cell>
          <cell r="M29" t="str">
            <v>n.a.</v>
          </cell>
          <cell r="N29" t="str">
            <v>n.a.</v>
          </cell>
          <cell r="P29">
            <v>0.13108430550194769</v>
          </cell>
          <cell r="Q29">
            <v>0.13205311458150712</v>
          </cell>
        </row>
        <row r="30">
          <cell r="C30">
            <v>39739</v>
          </cell>
          <cell r="E30">
            <v>66688</v>
          </cell>
          <cell r="F30">
            <v>52645.4</v>
          </cell>
          <cell r="G30">
            <v>52645.4</v>
          </cell>
          <cell r="H30">
            <v>52645.4</v>
          </cell>
          <cell r="I30">
            <v>-14042.599999999999</v>
          </cell>
          <cell r="J30">
            <v>0</v>
          </cell>
          <cell r="K30">
            <v>24205.999999999993</v>
          </cell>
          <cell r="L30">
            <v>4.2896238955352439</v>
          </cell>
          <cell r="M30">
            <v>-17.670810853076844</v>
          </cell>
          <cell r="N30">
            <v>-17.670810853076844</v>
          </cell>
          <cell r="O30">
            <v>6.00338655529482E-2</v>
          </cell>
          <cell r="P30">
            <v>4.7153566089759631E-2</v>
          </cell>
          <cell r="Q30">
            <v>4.7502079130671185E-2</v>
          </cell>
        </row>
        <row r="31">
          <cell r="C31">
            <v>391876.6618</v>
          </cell>
          <cell r="E31">
            <v>490242</v>
          </cell>
          <cell r="F31">
            <v>501850.1</v>
          </cell>
          <cell r="G31">
            <v>501850.1</v>
          </cell>
          <cell r="H31">
            <v>501850.1</v>
          </cell>
          <cell r="I31">
            <v>11608.099999999977</v>
          </cell>
          <cell r="J31">
            <v>0</v>
          </cell>
          <cell r="K31">
            <v>13038</v>
          </cell>
          <cell r="L31">
            <v>21.072918876458434</v>
          </cell>
          <cell r="M31">
            <v>23.939720475688642</v>
          </cell>
          <cell r="N31">
            <v>23.939720475688642</v>
          </cell>
          <cell r="O31">
            <v>0.4413256105507502</v>
          </cell>
          <cell r="P31">
            <v>0.4494983770187419</v>
          </cell>
          <cell r="Q31">
            <v>0.45282062937949463</v>
          </cell>
        </row>
        <row r="32">
          <cell r="C32">
            <v>1095546.6343999999</v>
          </cell>
          <cell r="E32">
            <v>1132536</v>
          </cell>
          <cell r="F32">
            <v>1014549.115</v>
          </cell>
          <cell r="G32">
            <v>1117393.3</v>
          </cell>
          <cell r="H32">
            <v>1129927.3</v>
          </cell>
          <cell r="I32">
            <v>-117986.88500000001</v>
          </cell>
          <cell r="J32">
            <v>102844.18500000006</v>
          </cell>
          <cell r="K32">
            <v>49403.760000000242</v>
          </cell>
          <cell r="L32">
            <v>-1.0842735598607045</v>
          </cell>
          <cell r="M32">
            <v>-11.38925145035088</v>
          </cell>
          <cell r="N32">
            <v>-2.4068374083962896</v>
          </cell>
          <cell r="O32">
            <v>1.0195314593011298</v>
          </cell>
          <cell r="P32">
            <v>0.90871393788364496</v>
          </cell>
          <cell r="Q32">
            <v>1.0082268338103959</v>
          </cell>
        </row>
        <row r="33">
          <cell r="C33">
            <v>164252.17440000002</v>
          </cell>
          <cell r="E33">
            <v>69970</v>
          </cell>
          <cell r="F33">
            <v>74082.100000000006</v>
          </cell>
          <cell r="G33">
            <v>110000</v>
          </cell>
          <cell r="H33">
            <v>228517</v>
          </cell>
          <cell r="I33">
            <v>4112.1000000000058</v>
          </cell>
          <cell r="J33">
            <v>35917.899999999994</v>
          </cell>
          <cell r="K33">
            <v>0</v>
          </cell>
          <cell r="L33">
            <v>-57.400868356480039</v>
          </cell>
          <cell r="M33">
            <v>-54.897339855246386</v>
          </cell>
          <cell r="N33">
            <v>-33.029805905571017</v>
          </cell>
          <cell r="O33">
            <v>6.2988387307158486E-2</v>
          </cell>
          <cell r="P33">
            <v>6.6354044197939083E-2</v>
          </cell>
          <cell r="Q33">
            <v>9.9253281471388399E-2</v>
          </cell>
        </row>
        <row r="34">
          <cell r="F34">
            <v>31357</v>
          </cell>
          <cell r="G34">
            <v>31357</v>
          </cell>
          <cell r="I34">
            <v>31357</v>
          </cell>
          <cell r="J34">
            <v>0</v>
          </cell>
          <cell r="M34">
            <v>-36.395537525354968</v>
          </cell>
          <cell r="N34">
            <v>-36.395537525354968</v>
          </cell>
          <cell r="P34">
            <v>2.808591770366628E-2</v>
          </cell>
          <cell r="Q34">
            <v>2.8293501337257509E-2</v>
          </cell>
        </row>
        <row r="35">
          <cell r="F35">
            <v>87160</v>
          </cell>
          <cell r="G35">
            <v>87160</v>
          </cell>
          <cell r="I35">
            <v>87160</v>
          </cell>
          <cell r="J35">
            <v>0</v>
          </cell>
          <cell r="M35">
            <v>3.024786941052704</v>
          </cell>
          <cell r="N35">
            <v>3.024786941052704</v>
          </cell>
          <cell r="P35">
            <v>7.8067691011625889E-2</v>
          </cell>
          <cell r="Q35">
            <v>7.8644691027692837E-2</v>
          </cell>
        </row>
        <row r="36">
          <cell r="C36">
            <v>550049</v>
          </cell>
          <cell r="E36">
            <v>681100</v>
          </cell>
          <cell r="F36">
            <v>598900.01500000001</v>
          </cell>
          <cell r="G36">
            <v>654676.30000000005</v>
          </cell>
          <cell r="H36">
            <v>654676.30000000005</v>
          </cell>
          <cell r="I36">
            <v>-82199.984999999986</v>
          </cell>
          <cell r="J36">
            <v>55776.285000000033</v>
          </cell>
          <cell r="K36">
            <v>0</v>
          </cell>
          <cell r="L36">
            <v>23.825331924973959</v>
          </cell>
          <cell r="M36">
            <v>8.8812114920670648</v>
          </cell>
          <cell r="N36">
            <v>19.021450816200016</v>
          </cell>
          <cell r="O36">
            <v>0.61313978269123415</v>
          </cell>
          <cell r="P36">
            <v>0.53642429231158906</v>
          </cell>
          <cell r="Q36">
            <v>0.59071610069588287</v>
          </cell>
        </row>
        <row r="37">
          <cell r="C37">
            <v>228000</v>
          </cell>
          <cell r="E37">
            <v>278156</v>
          </cell>
          <cell r="F37">
            <v>278156.495</v>
          </cell>
          <cell r="G37">
            <v>207000</v>
          </cell>
          <cell r="H37">
            <v>207000</v>
          </cell>
          <cell r="I37">
            <v>0.49499999999534339</v>
          </cell>
          <cell r="J37">
            <v>-71156.494999999995</v>
          </cell>
          <cell r="K37">
            <v>0</v>
          </cell>
          <cell r="L37">
            <v>21.998245614035095</v>
          </cell>
          <cell r="M37">
            <v>21.998462719298239</v>
          </cell>
          <cell r="N37">
            <v>-9.210526315789469</v>
          </cell>
          <cell r="O37">
            <v>0.2504015700987563</v>
          </cell>
          <cell r="P37">
            <v>0.24913991859266704</v>
          </cell>
          <cell r="Q37">
            <v>0.18677662967797634</v>
          </cell>
        </row>
        <row r="38">
          <cell r="C38">
            <v>60000</v>
          </cell>
          <cell r="E38">
            <v>74400</v>
          </cell>
          <cell r="F38">
            <v>74400</v>
          </cell>
          <cell r="G38">
            <v>40800</v>
          </cell>
          <cell r="H38">
            <v>40800</v>
          </cell>
          <cell r="I38">
            <v>0</v>
          </cell>
          <cell r="J38">
            <v>-33600</v>
          </cell>
          <cell r="K38">
            <v>0</v>
          </cell>
          <cell r="L38">
            <v>24</v>
          </cell>
          <cell r="M38">
            <v>24</v>
          </cell>
          <cell r="N38">
            <v>-31.999999999999996</v>
          </cell>
          <cell r="O38">
            <v>6.6976361521403349E-2</v>
          </cell>
          <cell r="P38">
            <v>6.6638781680414927E-2</v>
          </cell>
          <cell r="Q38">
            <v>3.681394440029679E-2</v>
          </cell>
        </row>
        <row r="39">
          <cell r="C39">
            <v>189300</v>
          </cell>
          <cell r="E39">
            <v>138200</v>
          </cell>
          <cell r="F39">
            <v>100000</v>
          </cell>
          <cell r="G39">
            <v>100000</v>
          </cell>
          <cell r="H39">
            <v>100000</v>
          </cell>
          <cell r="I39">
            <v>-38200</v>
          </cell>
          <cell r="J39">
            <v>0</v>
          </cell>
          <cell r="K39">
            <v>0</v>
          </cell>
          <cell r="L39">
            <v>-26.994189117802424</v>
          </cell>
          <cell r="M39">
            <v>-47.173798203909136</v>
          </cell>
          <cell r="N39">
            <v>-47.173798203909136</v>
          </cell>
          <cell r="O39">
            <v>0.12441039196583255</v>
          </cell>
          <cell r="P39">
            <v>8.9568254946794254E-2</v>
          </cell>
          <cell r="Q39">
            <v>9.0230255883080354E-2</v>
          </cell>
        </row>
        <row r="40">
          <cell r="C40">
            <v>0</v>
          </cell>
          <cell r="E40">
            <v>0</v>
          </cell>
          <cell r="F40">
            <v>56000</v>
          </cell>
          <cell r="G40">
            <v>175303.3</v>
          </cell>
          <cell r="H40">
            <v>175303.3</v>
          </cell>
          <cell r="I40">
            <v>56000</v>
          </cell>
          <cell r="J40">
            <v>119303.29999999999</v>
          </cell>
          <cell r="K40">
            <v>0</v>
          </cell>
          <cell r="L40" t="str">
            <v>n.a.</v>
          </cell>
          <cell r="M40" t="str">
            <v>n.a.</v>
          </cell>
          <cell r="N40" t="str">
            <v>n.a.</v>
          </cell>
          <cell r="O40" t="str">
            <v/>
          </cell>
          <cell r="P40">
            <v>5.0158222770204784E-2</v>
          </cell>
          <cell r="Q40">
            <v>0.15817661616148398</v>
          </cell>
        </row>
        <row r="41">
          <cell r="C41">
            <v>72749</v>
          </cell>
          <cell r="E41">
            <v>190344</v>
          </cell>
          <cell r="F41">
            <v>90343.52</v>
          </cell>
          <cell r="G41">
            <v>131573</v>
          </cell>
          <cell r="H41">
            <v>131573</v>
          </cell>
          <cell r="I41">
            <v>-100000.48</v>
          </cell>
          <cell r="J41">
            <v>41229.479999999996</v>
          </cell>
          <cell r="K41">
            <v>0</v>
          </cell>
          <cell r="L41">
            <v>161.6448336059602</v>
          </cell>
          <cell r="M41">
            <v>24.185239659651693</v>
          </cell>
          <cell r="N41">
            <v>80.858843420528117</v>
          </cell>
          <cell r="O41">
            <v>0.17135145910524191</v>
          </cell>
          <cell r="P41">
            <v>8.091911432150807E-2</v>
          </cell>
          <cell r="Q41">
            <v>0.11871865457304533</v>
          </cell>
        </row>
        <row r="42">
          <cell r="C42">
            <v>13400</v>
          </cell>
          <cell r="E42">
            <v>10800</v>
          </cell>
          <cell r="F42">
            <v>10800</v>
          </cell>
          <cell r="G42">
            <v>8100</v>
          </cell>
          <cell r="H42">
            <v>6784</v>
          </cell>
          <cell r="I42">
            <v>0</v>
          </cell>
          <cell r="J42">
            <v>-2700</v>
          </cell>
          <cell r="K42">
            <v>-5300</v>
          </cell>
          <cell r="L42">
            <v>33.333333333333329</v>
          </cell>
          <cell r="M42">
            <v>33.333333333333329</v>
          </cell>
          <cell r="N42">
            <v>0</v>
          </cell>
          <cell r="O42">
            <v>9.7223750595585492E-3</v>
          </cell>
          <cell r="P42">
            <v>9.6733715342537802E-3</v>
          </cell>
          <cell r="Q42">
            <v>7.3086507265295092E-3</v>
          </cell>
        </row>
        <row r="43">
          <cell r="C43">
            <v>186056.06</v>
          </cell>
          <cell r="E43">
            <v>185288</v>
          </cell>
          <cell r="F43">
            <v>186150</v>
          </cell>
          <cell r="G43">
            <v>200000</v>
          </cell>
          <cell r="H43">
            <v>213850</v>
          </cell>
          <cell r="I43">
            <v>862</v>
          </cell>
          <cell r="J43">
            <v>13850</v>
          </cell>
          <cell r="K43">
            <v>3658.1600000000035</v>
          </cell>
          <cell r="L43">
            <v>-2.3330986997179282</v>
          </cell>
          <cell r="M43">
            <v>-1.8787310724520334</v>
          </cell>
          <cell r="N43">
            <v>5.4217232635487278</v>
          </cell>
          <cell r="O43">
            <v>0.16679994722550781</v>
          </cell>
          <cell r="P43">
            <v>0.1667313065834575</v>
          </cell>
          <cell r="Q43">
            <v>0.18046051176616071</v>
          </cell>
        </row>
        <row r="44">
          <cell r="C44">
            <v>98934</v>
          </cell>
          <cell r="E44">
            <v>0</v>
          </cell>
          <cell r="F44">
            <v>0</v>
          </cell>
          <cell r="G44">
            <v>0</v>
          </cell>
          <cell r="H44">
            <v>0</v>
          </cell>
          <cell r="I44">
            <v>0</v>
          </cell>
          <cell r="J44">
            <v>0</v>
          </cell>
          <cell r="K44">
            <v>0</v>
          </cell>
          <cell r="L44">
            <v>-100</v>
          </cell>
          <cell r="M44">
            <v>-100</v>
          </cell>
          <cell r="N44">
            <v>-100</v>
          </cell>
          <cell r="O44" t="str">
            <v/>
          </cell>
          <cell r="P44" t="str">
            <v/>
          </cell>
          <cell r="Q44" t="str">
            <v/>
          </cell>
        </row>
        <row r="45">
          <cell r="C45">
            <v>0</v>
          </cell>
          <cell r="E45">
            <v>97751</v>
          </cell>
          <cell r="F45">
            <v>0</v>
          </cell>
          <cell r="G45">
            <v>0</v>
          </cell>
          <cell r="H45">
            <v>0</v>
          </cell>
          <cell r="I45">
            <v>-97751</v>
          </cell>
          <cell r="J45">
            <v>0</v>
          </cell>
          <cell r="K45">
            <v>0</v>
          </cell>
          <cell r="L45" t="str">
            <v>n.a.</v>
          </cell>
          <cell r="M45" t="str">
            <v>n.a.</v>
          </cell>
          <cell r="N45" t="str">
            <v>n.a.</v>
          </cell>
          <cell r="O45">
            <v>8.7997396708047015E-2</v>
          </cell>
          <cell r="P45" t="str">
            <v/>
          </cell>
          <cell r="Q45" t="str">
            <v/>
          </cell>
        </row>
        <row r="46">
          <cell r="C46">
            <v>82855.399999999994</v>
          </cell>
          <cell r="E46">
            <v>87627</v>
          </cell>
          <cell r="F46">
            <v>26100</v>
          </cell>
          <cell r="G46">
            <v>26100</v>
          </cell>
          <cell r="H46">
            <v>26100</v>
          </cell>
          <cell r="I46">
            <v>-61527</v>
          </cell>
          <cell r="J46">
            <v>0</v>
          </cell>
          <cell r="K46">
            <v>-82855.399999999994</v>
          </cell>
          <cell r="L46" t="str">
            <v>n.a.</v>
          </cell>
          <cell r="M46" t="str">
            <v>n.a.</v>
          </cell>
          <cell r="N46" t="str">
            <v>n.a.</v>
          </cell>
          <cell r="O46">
            <v>7.8883570309623799E-2</v>
          </cell>
          <cell r="P46">
            <v>2.3377314541113303E-2</v>
          </cell>
          <cell r="Q46">
            <v>2.3550096785483973E-2</v>
          </cell>
        </row>
        <row r="47">
          <cell r="O47" t="str">
            <v/>
          </cell>
        </row>
        <row r="48">
          <cell r="C48">
            <v>15622302.947824001</v>
          </cell>
          <cell r="E48">
            <v>19265187</v>
          </cell>
          <cell r="F48">
            <v>19488005.992658094</v>
          </cell>
          <cell r="G48">
            <v>19611801.492658094</v>
          </cell>
          <cell r="H48">
            <v>19611801.492658094</v>
          </cell>
          <cell r="I48">
            <v>222818.99265809357</v>
          </cell>
          <cell r="J48">
            <v>123795.5</v>
          </cell>
          <cell r="K48">
            <v>-220333.14900000207</v>
          </cell>
          <cell r="L48">
            <v>25.082617688751551</v>
          </cell>
          <cell r="M48">
            <v>26.529309219565398</v>
          </cell>
          <cell r="N48">
            <v>27.333073294011601</v>
          </cell>
          <cell r="O48">
            <v>17.34290496356774</v>
          </cell>
          <cell r="P48">
            <v>17.455066891550544</v>
          </cell>
          <cell r="Q48">
            <v>17.69577867010717</v>
          </cell>
        </row>
        <row r="49">
          <cell r="C49">
            <v>13743780.426072501</v>
          </cell>
          <cell r="E49">
            <v>16735229</v>
          </cell>
          <cell r="F49">
            <v>16846398.492658094</v>
          </cell>
          <cell r="G49">
            <v>16846398.492658094</v>
          </cell>
          <cell r="H49">
            <v>16846398.492658094</v>
          </cell>
          <cell r="I49">
            <v>111169.49265809357</v>
          </cell>
          <cell r="J49">
            <v>0</v>
          </cell>
          <cell r="K49">
            <v>-220333.14900000021</v>
          </cell>
          <cell r="L49">
            <v>23.749726361359926</v>
          </cell>
          <cell r="M49">
            <v>24.571776319336024</v>
          </cell>
          <cell r="N49">
            <v>24.571776319336024</v>
          </cell>
          <cell r="O49">
            <v>15.065386393111199</v>
          </cell>
          <cell r="P49">
            <v>15.089025151256907</v>
          </cell>
          <cell r="Q49">
            <v>15.20054846700879</v>
          </cell>
        </row>
        <row r="50">
          <cell r="C50">
            <v>13171377.947824001</v>
          </cell>
          <cell r="E50">
            <v>16266187</v>
          </cell>
          <cell r="F50">
            <v>16613011.973780537</v>
          </cell>
          <cell r="G50">
            <v>16736807.473780537</v>
          </cell>
          <cell r="H50">
            <v>16736807.473780537</v>
          </cell>
          <cell r="I50">
            <v>346824.97378053702</v>
          </cell>
          <cell r="J50">
            <v>123795.5</v>
          </cell>
          <cell r="K50">
            <v>-124154.97700000182</v>
          </cell>
          <cell r="L50">
            <v>24.671641132938404</v>
          </cell>
          <cell r="M50">
            <v>27.329869436050114</v>
          </cell>
          <cell r="N50">
            <v>28.278695866600344</v>
          </cell>
          <cell r="O50">
            <v>14.643145444714397</v>
          </cell>
          <cell r="P50">
            <v>14.879984919017208</v>
          </cell>
          <cell r="Q50">
            <v>15.101664210250695</v>
          </cell>
        </row>
        <row r="51">
          <cell r="C51">
            <v>1878522.5217514997</v>
          </cell>
          <cell r="E51">
            <v>2529958</v>
          </cell>
          <cell r="F51">
            <v>2641607.5</v>
          </cell>
          <cell r="G51">
            <v>2765403</v>
          </cell>
          <cell r="H51">
            <v>2765403</v>
          </cell>
          <cell r="I51">
            <v>111649.5</v>
          </cell>
          <cell r="J51">
            <v>123795.5</v>
          </cell>
          <cell r="K51">
            <v>0</v>
          </cell>
          <cell r="L51">
            <v>34.678076557799997</v>
          </cell>
          <cell r="M51">
            <v>40.621550682129381</v>
          </cell>
          <cell r="N51">
            <v>47.211596772424592</v>
          </cell>
          <cell r="O51">
            <v>2.2775185704565395</v>
          </cell>
          <cell r="P51">
            <v>2.366041740293638</v>
          </cell>
          <cell r="Q51">
            <v>2.4952302030983806</v>
          </cell>
        </row>
        <row r="52">
          <cell r="C52">
            <v>467078.2217514998</v>
          </cell>
          <cell r="E52">
            <v>737054</v>
          </cell>
          <cell r="F52">
            <v>680599.2</v>
          </cell>
          <cell r="G52">
            <v>644103</v>
          </cell>
          <cell r="H52">
            <v>644103</v>
          </cell>
          <cell r="I52">
            <v>-56454.800000000047</v>
          </cell>
          <cell r="J52">
            <v>-36496.199999999953</v>
          </cell>
          <cell r="K52">
            <v>0</v>
          </cell>
          <cell r="L52">
            <v>57.800977582751798</v>
          </cell>
          <cell r="M52">
            <v>45.714179832195214</v>
          </cell>
          <cell r="N52">
            <v>37.900456498415579</v>
          </cell>
          <cell r="O52">
            <v>0.66351068769887656</v>
          </cell>
          <cell r="P52">
            <v>0.60960082662184212</v>
          </cell>
          <cell r="Q52">
            <v>0.58117578505059708</v>
          </cell>
        </row>
        <row r="53">
          <cell r="C53">
            <v>1411444.3</v>
          </cell>
          <cell r="E53">
            <v>1792904</v>
          </cell>
          <cell r="F53">
            <v>1857009.3</v>
          </cell>
          <cell r="G53">
            <v>2121300</v>
          </cell>
          <cell r="H53">
            <v>2121300</v>
          </cell>
          <cell r="I53">
            <v>64105.300000000047</v>
          </cell>
          <cell r="J53">
            <v>264290.69999999995</v>
          </cell>
          <cell r="K53">
            <v>0</v>
          </cell>
          <cell r="L53">
            <v>27.026195791077257</v>
          </cell>
          <cell r="M53">
            <v>31.56801866003498</v>
          </cell>
          <cell r="N53">
            <v>50.292859590704353</v>
          </cell>
          <cell r="O53">
            <v>1.6140078827576632</v>
          </cell>
          <cell r="P53">
            <v>1.6632908242096796</v>
          </cell>
          <cell r="Q53">
            <v>1.9140544180477836</v>
          </cell>
        </row>
        <row r="54">
          <cell r="C54">
            <v>0</v>
          </cell>
          <cell r="E54">
            <v>0</v>
          </cell>
          <cell r="F54">
            <v>103999</v>
          </cell>
          <cell r="G54">
            <v>0</v>
          </cell>
          <cell r="H54">
            <v>0</v>
          </cell>
          <cell r="I54">
            <v>103999</v>
          </cell>
          <cell r="J54">
            <v>-103999</v>
          </cell>
          <cell r="K54">
            <v>0</v>
          </cell>
          <cell r="L54" t="str">
            <v>n.a.</v>
          </cell>
          <cell r="M54" t="str">
            <v>n.a.</v>
          </cell>
          <cell r="N54" t="str">
            <v>n.a.</v>
          </cell>
          <cell r="O54" t="str">
            <v/>
          </cell>
          <cell r="P54">
            <v>9.3150089462116559E-2</v>
          </cell>
          <cell r="Q54" t="str">
            <v/>
          </cell>
        </row>
        <row r="55">
          <cell r="C55">
            <v>11292855.426072501</v>
          </cell>
          <cell r="E55">
            <v>13736229</v>
          </cell>
          <cell r="F55">
            <v>13971404.473780537</v>
          </cell>
          <cell r="G55">
            <v>13971404.473780537</v>
          </cell>
          <cell r="H55">
            <v>13971404.473780537</v>
          </cell>
          <cell r="I55">
            <v>235175.47378053702</v>
          </cell>
          <cell r="J55">
            <v>0</v>
          </cell>
          <cell r="K55">
            <v>-124154.97699999996</v>
          </cell>
          <cell r="L55">
            <v>22.988606083895103</v>
          </cell>
          <cell r="M55">
            <v>25.094271598454277</v>
          </cell>
          <cell r="N55">
            <v>25.094271598454277</v>
          </cell>
          <cell r="O55">
            <v>12.365626874257858</v>
          </cell>
          <cell r="P55">
            <v>12.513943178723572</v>
          </cell>
          <cell r="Q55">
            <v>12.606434007152314</v>
          </cell>
        </row>
        <row r="56">
          <cell r="C56">
            <v>2551193.1740000001</v>
          </cell>
          <cell r="E56">
            <v>2827000</v>
          </cell>
          <cell r="F56">
            <v>3038900.8549118382</v>
          </cell>
          <cell r="G56">
            <v>3038900.8549118382</v>
          </cell>
          <cell r="H56">
            <v>3038900.8549118382</v>
          </cell>
          <cell r="I56">
            <v>211900.85491183819</v>
          </cell>
          <cell r="J56">
            <v>0</v>
          </cell>
          <cell r="K56">
            <v>0</v>
          </cell>
          <cell r="L56">
            <v>10.810895419869905</v>
          </cell>
          <cell r="M56">
            <v>19.116846418460899</v>
          </cell>
          <cell r="N56">
            <v>19.116846418460899</v>
          </cell>
          <cell r="O56">
            <v>2.5449216938307426</v>
          </cell>
          <cell r="P56">
            <v>2.7218904653077454</v>
          </cell>
          <cell r="Q56">
            <v>2.7420080174200683</v>
          </cell>
        </row>
        <row r="57">
          <cell r="C57">
            <v>7848944.2520725001</v>
          </cell>
          <cell r="E57">
            <v>9638543</v>
          </cell>
          <cell r="F57">
            <v>9660532.5</v>
          </cell>
          <cell r="G57">
            <v>9660532.5</v>
          </cell>
          <cell r="H57">
            <v>9660532.5</v>
          </cell>
          <cell r="I57">
            <v>21989.5</v>
          </cell>
          <cell r="J57">
            <v>0</v>
          </cell>
          <cell r="K57">
            <v>-84519</v>
          </cell>
          <cell r="L57">
            <v>24.137237298114968</v>
          </cell>
          <cell r="M57">
            <v>24.420445639828724</v>
          </cell>
          <cell r="N57">
            <v>24.420445639828724</v>
          </cell>
          <cell r="O57">
            <v>8.6768083401557998</v>
          </cell>
          <cell r="P57">
            <v>8.6527703788179178</v>
          </cell>
          <cell r="Q57">
            <v>8.7167231944181403</v>
          </cell>
        </row>
        <row r="58">
          <cell r="C58">
            <v>2695471</v>
          </cell>
          <cell r="E58">
            <v>3111900</v>
          </cell>
          <cell r="F58">
            <v>3092837</v>
          </cell>
          <cell r="G58">
            <v>3092837</v>
          </cell>
          <cell r="H58">
            <v>3092837</v>
          </cell>
          <cell r="I58">
            <v>-19063</v>
          </cell>
          <cell r="J58">
            <v>0</v>
          </cell>
          <cell r="K58">
            <v>-63471</v>
          </cell>
          <cell r="L58">
            <v>18.233282674772045</v>
          </cell>
          <cell r="M58">
            <v>17.509004559270515</v>
          </cell>
          <cell r="N58">
            <v>17.509004559270515</v>
          </cell>
          <cell r="O58">
            <v>2.8013943470222453</v>
          </cell>
          <cell r="P58">
            <v>2.7702001292487832</v>
          </cell>
          <cell r="Q58">
            <v>2.7906747391465858</v>
          </cell>
        </row>
        <row r="59">
          <cell r="C59">
            <v>1555900</v>
          </cell>
          <cell r="E59">
            <v>1929800</v>
          </cell>
          <cell r="F59">
            <v>1934659</v>
          </cell>
          <cell r="G59">
            <v>1934659</v>
          </cell>
          <cell r="H59">
            <v>1934659</v>
          </cell>
          <cell r="I59">
            <v>4859</v>
          </cell>
          <cell r="J59">
            <v>0</v>
          </cell>
          <cell r="K59">
            <v>-3900</v>
          </cell>
          <cell r="L59">
            <v>24.342783505154642</v>
          </cell>
          <cell r="M59">
            <v>24.655863402061851</v>
          </cell>
          <cell r="N59">
            <v>24.655863402061851</v>
          </cell>
          <cell r="O59">
            <v>1.7372443879570452</v>
          </cell>
          <cell r="P59">
            <v>1.7328403054711006</v>
          </cell>
          <cell r="Q59">
            <v>1.7456477661650438</v>
          </cell>
        </row>
        <row r="60">
          <cell r="C60">
            <v>3597573.2520725001</v>
          </cell>
          <cell r="E60">
            <v>4596843</v>
          </cell>
          <cell r="F60">
            <v>4633036.5</v>
          </cell>
          <cell r="G60">
            <v>4633036.5</v>
          </cell>
          <cell r="H60">
            <v>4633036.5</v>
          </cell>
          <cell r="I60">
            <v>36193.5</v>
          </cell>
          <cell r="J60">
            <v>0</v>
          </cell>
          <cell r="K60">
            <v>-17148</v>
          </cell>
          <cell r="L60">
            <v>28.38818510005634</v>
          </cell>
          <cell r="M60">
            <v>29.399056643291299</v>
          </cell>
          <cell r="N60">
            <v>29.399056643291299</v>
          </cell>
          <cell r="O60">
            <v>4.1381696051765093</v>
          </cell>
          <cell r="P60">
            <v>4.1497299440980333</v>
          </cell>
          <cell r="Q60">
            <v>4.1804006891065102</v>
          </cell>
        </row>
        <row r="61">
          <cell r="C61">
            <v>892718</v>
          </cell>
          <cell r="E61">
            <v>1270686</v>
          </cell>
          <cell r="F61">
            <v>1271971.1188686998</v>
          </cell>
          <cell r="G61">
            <v>1271971.1188686998</v>
          </cell>
          <cell r="H61">
            <v>1271971.1188686998</v>
          </cell>
          <cell r="I61">
            <v>1285.118868699763</v>
          </cell>
          <cell r="J61">
            <v>0</v>
          </cell>
          <cell r="K61">
            <v>-39635.977000000072</v>
          </cell>
          <cell r="L61">
            <v>48.952382741747222</v>
          </cell>
          <cell r="M61">
            <v>49.10302697454685</v>
          </cell>
          <cell r="N61">
            <v>49.10302697454685</v>
          </cell>
          <cell r="O61">
            <v>1.1438968402713163</v>
          </cell>
          <cell r="P61">
            <v>1.1392823345979086</v>
          </cell>
          <cell r="Q61">
            <v>1.1477027953141081</v>
          </cell>
        </row>
        <row r="62">
          <cell r="C62">
            <v>163200</v>
          </cell>
          <cell r="E62">
            <v>489386</v>
          </cell>
          <cell r="F62">
            <v>481600</v>
          </cell>
          <cell r="G62">
            <v>481600</v>
          </cell>
          <cell r="H62">
            <v>481600</v>
          </cell>
          <cell r="I62">
            <v>-7786</v>
          </cell>
          <cell r="J62">
            <v>0</v>
          </cell>
          <cell r="K62">
            <v>-35753</v>
          </cell>
          <cell r="L62">
            <v>283.99177697395783</v>
          </cell>
          <cell r="M62">
            <v>277.88257079413404</v>
          </cell>
          <cell r="N62">
            <v>277.88257079413404</v>
          </cell>
          <cell r="O62">
            <v>0.44055502230528887</v>
          </cell>
          <cell r="P62">
            <v>0.43136071582376118</v>
          </cell>
          <cell r="Q62">
            <v>0.43454891233291498</v>
          </cell>
        </row>
        <row r="63">
          <cell r="C63">
            <v>729518</v>
          </cell>
          <cell r="E63">
            <v>781300</v>
          </cell>
          <cell r="F63">
            <v>790371.11886869965</v>
          </cell>
          <cell r="G63">
            <v>790371.11886869965</v>
          </cell>
          <cell r="H63">
            <v>790371.11886869965</v>
          </cell>
          <cell r="I63">
            <v>9071.1188686996466</v>
          </cell>
          <cell r="J63">
            <v>0</v>
          </cell>
          <cell r="K63">
            <v>-3882.9770000000717</v>
          </cell>
          <cell r="L63">
            <v>7.6712086979848104</v>
          </cell>
          <cell r="M63">
            <v>8.9213025580078273</v>
          </cell>
          <cell r="N63">
            <v>8.9213025580078273</v>
          </cell>
          <cell r="O63">
            <v>0.70334181796602735</v>
          </cell>
          <cell r="P63">
            <v>0.70792161877414728</v>
          </cell>
          <cell r="Q63">
            <v>0.71315388298119287</v>
          </cell>
        </row>
        <row r="64">
          <cell r="C64">
            <v>2450925</v>
          </cell>
          <cell r="E64">
            <v>2999000</v>
          </cell>
          <cell r="F64">
            <v>2874994.0188775575</v>
          </cell>
          <cell r="G64">
            <v>2874994.0188775575</v>
          </cell>
          <cell r="H64">
            <v>2874994.0188775575</v>
          </cell>
          <cell r="I64">
            <v>-124005.98112244252</v>
          </cell>
          <cell r="J64">
            <v>0</v>
          </cell>
          <cell r="K64">
            <v>-96178.172000000719</v>
          </cell>
          <cell r="L64">
            <v>27.359763875218633</v>
          </cell>
          <cell r="M64">
            <v>22.093550979296971</v>
          </cell>
          <cell r="N64">
            <v>22.093550979296971</v>
          </cell>
          <cell r="O64">
            <v>2.6997595188533419</v>
          </cell>
          <cell r="P64">
            <v>2.5750819725333369</v>
          </cell>
          <cell r="Q64">
            <v>2.5941144598564758</v>
          </cell>
        </row>
        <row r="65">
          <cell r="C65">
            <v>2239325</v>
          </cell>
          <cell r="E65">
            <v>2999000</v>
          </cell>
          <cell r="F65">
            <v>2874994.0188775575</v>
          </cell>
          <cell r="G65">
            <v>2874994.0188775575</v>
          </cell>
          <cell r="H65">
            <v>2874994.0188775575</v>
          </cell>
          <cell r="I65">
            <v>-124005.98112244252</v>
          </cell>
          <cell r="J65">
            <v>0</v>
          </cell>
          <cell r="K65">
            <v>76821.827999999281</v>
          </cell>
          <cell r="L65">
            <v>29.48229204405175</v>
          </cell>
          <cell r="M65">
            <v>24.128314497234381</v>
          </cell>
          <cell r="N65">
            <v>24.128314497234381</v>
          </cell>
          <cell r="O65">
            <v>2.6997595188533419</v>
          </cell>
          <cell r="P65">
            <v>2.5750819725333369</v>
          </cell>
          <cell r="Q65">
            <v>2.5941144598564758</v>
          </cell>
        </row>
        <row r="66">
          <cell r="C66">
            <v>211600</v>
          </cell>
          <cell r="E66">
            <v>0</v>
          </cell>
          <cell r="F66">
            <v>0</v>
          </cell>
          <cell r="G66">
            <v>0</v>
          </cell>
          <cell r="H66">
            <v>0</v>
          </cell>
          <cell r="I66">
            <v>0</v>
          </cell>
          <cell r="J66">
            <v>0</v>
          </cell>
          <cell r="K66">
            <v>-173000</v>
          </cell>
          <cell r="L66">
            <v>-100</v>
          </cell>
          <cell r="M66">
            <v>-100</v>
          </cell>
          <cell r="N66">
            <v>-100</v>
          </cell>
          <cell r="O66" t="str">
            <v/>
          </cell>
          <cell r="P66" t="str">
            <v/>
          </cell>
          <cell r="Q66" t="str">
            <v/>
          </cell>
        </row>
        <row r="67">
          <cell r="C67">
            <v>38600</v>
          </cell>
          <cell r="E67">
            <v>0</v>
          </cell>
          <cell r="F67">
            <v>0</v>
          </cell>
          <cell r="G67">
            <v>0</v>
          </cell>
          <cell r="H67">
            <v>0</v>
          </cell>
          <cell r="I67">
            <v>0</v>
          </cell>
          <cell r="J67">
            <v>0</v>
          </cell>
          <cell r="K67">
            <v>0</v>
          </cell>
          <cell r="L67">
            <v>-100</v>
          </cell>
          <cell r="M67">
            <v>-100</v>
          </cell>
          <cell r="N67">
            <v>-100</v>
          </cell>
          <cell r="O67" t="str">
            <v/>
          </cell>
          <cell r="P67" t="str">
            <v/>
          </cell>
          <cell r="Q67" t="str">
            <v/>
          </cell>
        </row>
        <row r="68">
          <cell r="F68">
            <v>0</v>
          </cell>
          <cell r="G68">
            <v>0</v>
          </cell>
        </row>
        <row r="69">
          <cell r="O69" t="str">
            <v/>
          </cell>
        </row>
        <row r="70">
          <cell r="O70" t="str">
            <v/>
          </cell>
        </row>
        <row r="71">
          <cell r="C71">
            <v>-3617923.9585239999</v>
          </cell>
          <cell r="E71">
            <v>-4760010</v>
          </cell>
          <cell r="F71">
            <v>-4350990.4776580911</v>
          </cell>
          <cell r="G71">
            <v>-5129603.034658093</v>
          </cell>
          <cell r="H71">
            <v>-5457278.2926580943</v>
          </cell>
          <cell r="I71">
            <v>409019.52234190889</v>
          </cell>
          <cell r="J71">
            <v>-778612.55700000189</v>
          </cell>
          <cell r="K71">
            <v>269322.14990000241</v>
          </cell>
          <cell r="L71">
            <v>42.149179628974039</v>
          </cell>
          <cell r="M71">
            <v>29.934543619146936</v>
          </cell>
          <cell r="N71">
            <v>53.18641414596685</v>
          </cell>
          <cell r="O71">
            <v>-4.2850557877082673</v>
          </cell>
          <cell r="P71">
            <v>-3.8971062437395405</v>
          </cell>
          <cell r="Q71">
            <v>-4.6284539439582524</v>
          </cell>
        </row>
        <row r="72">
          <cell r="O72" t="str">
            <v/>
          </cell>
        </row>
        <row r="73">
          <cell r="C73">
            <v>345136</v>
          </cell>
          <cell r="E73">
            <v>248238</v>
          </cell>
          <cell r="F73">
            <v>166104.1</v>
          </cell>
          <cell r="G73">
            <v>218886</v>
          </cell>
          <cell r="H73">
            <v>224802</v>
          </cell>
          <cell r="I73">
            <v>-82133.899999999994</v>
          </cell>
          <cell r="J73">
            <v>52781.899999999994</v>
          </cell>
          <cell r="K73">
            <v>173750</v>
          </cell>
          <cell r="L73">
            <v>-52.159433864085749</v>
          </cell>
          <cell r="M73">
            <v>-67.988324988533137</v>
          </cell>
          <cell r="N73">
            <v>-57.816167713139308</v>
          </cell>
          <cell r="O73">
            <v>0.22346879074395329</v>
          </cell>
          <cell r="P73">
            <v>0.1487765437650781</v>
          </cell>
          <cell r="Q73">
            <v>0.19750139789223928</v>
          </cell>
        </row>
        <row r="74">
          <cell r="O74" t="str">
            <v/>
          </cell>
        </row>
        <row r="75">
          <cell r="C75">
            <v>-3963059.9585239999</v>
          </cell>
          <cell r="E75">
            <v>-5008248</v>
          </cell>
          <cell r="F75">
            <v>-4517094.5776580907</v>
          </cell>
          <cell r="G75">
            <v>-5348489.034658093</v>
          </cell>
          <cell r="H75">
            <v>-5682080.2926580943</v>
          </cell>
          <cell r="I75">
            <v>491153.42234190926</v>
          </cell>
          <cell r="J75">
            <v>-831394.45700000226</v>
          </cell>
          <cell r="K75">
            <v>95572.149900002405</v>
          </cell>
          <cell r="L75">
            <v>29.496154812233797</v>
          </cell>
          <cell r="M75">
            <v>16.796608061324836</v>
          </cell>
          <cell r="N75">
            <v>38.293623647155513</v>
          </cell>
          <cell r="O75">
            <v>-4.5085245784522208</v>
          </cell>
          <cell r="P75">
            <v>-4.0458827875046186</v>
          </cell>
          <cell r="Q75">
            <v>-4.8259553418504915</v>
          </cell>
        </row>
        <row r="76">
          <cell r="O76" t="str">
            <v/>
          </cell>
        </row>
        <row r="77">
          <cell r="C77">
            <v>3963059.9585239999</v>
          </cell>
          <cell r="E77">
            <v>5008248</v>
          </cell>
          <cell r="F77">
            <v>4517094.5776580907</v>
          </cell>
          <cell r="G77">
            <v>5348489.034658093</v>
          </cell>
          <cell r="H77">
            <v>5682080.2926580943</v>
          </cell>
          <cell r="I77">
            <v>-491153.42234190926</v>
          </cell>
          <cell r="J77">
            <v>831394.45700000226</v>
          </cell>
          <cell r="K77">
            <v>-95572.149900002405</v>
          </cell>
          <cell r="L77">
            <v>29.496154812233797</v>
          </cell>
          <cell r="M77">
            <v>16.796608061324836</v>
          </cell>
          <cell r="N77">
            <v>38.293623647155513</v>
          </cell>
          <cell r="O77">
            <v>4.5085245784522208</v>
          </cell>
          <cell r="P77">
            <v>4.0458827875046186</v>
          </cell>
          <cell r="Q77">
            <v>4.8259553418504915</v>
          </cell>
        </row>
        <row r="78">
          <cell r="C78">
            <v>1021745.5780114998</v>
          </cell>
          <cell r="E78">
            <v>1980464</v>
          </cell>
          <cell r="F78">
            <v>976469.39999999991</v>
          </cell>
          <cell r="G78">
            <v>991376</v>
          </cell>
          <cell r="H78">
            <v>991376</v>
          </cell>
          <cell r="I78">
            <v>-1003994.6000000001</v>
          </cell>
          <cell r="J78">
            <v>14906.600000000093</v>
          </cell>
          <cell r="K78">
            <v>58068.607800000231</v>
          </cell>
          <cell r="L78">
            <v>83.407851649183982</v>
          </cell>
          <cell r="M78">
            <v>-9.5706082740369514</v>
          </cell>
          <cell r="N78">
            <v>-8.1901300217719566</v>
          </cell>
          <cell r="O78">
            <v>1.7828531296253298</v>
          </cell>
          <cell r="P78">
            <v>0.87460660166943216</v>
          </cell>
          <cell r="Q78">
            <v>0.89452110156344677</v>
          </cell>
        </row>
        <row r="79">
          <cell r="C79">
            <v>1761893.7411999998</v>
          </cell>
          <cell r="E79">
            <v>2790693</v>
          </cell>
          <cell r="F79">
            <v>1765927.7</v>
          </cell>
          <cell r="G79">
            <v>1760602</v>
          </cell>
          <cell r="H79">
            <v>1760602</v>
          </cell>
          <cell r="I79">
            <v>-1024765.3</v>
          </cell>
          <cell r="J79">
            <v>-5325.6999999999534</v>
          </cell>
          <cell r="K79">
            <v>58068.607800000114</v>
          </cell>
          <cell r="L79">
            <v>53.337952377607124</v>
          </cell>
          <cell r="M79">
            <v>-2.9689981789837505</v>
          </cell>
          <cell r="N79">
            <v>-3.2616251117841055</v>
          </cell>
          <cell r="O79">
            <v>2.5122374094522804</v>
          </cell>
          <cell r="P79">
            <v>1.5817106245120602</v>
          </cell>
          <cell r="Q79">
            <v>1.5885956896826303</v>
          </cell>
        </row>
        <row r="80">
          <cell r="C80">
            <v>317067.2928</v>
          </cell>
          <cell r="E80">
            <v>887100</v>
          </cell>
          <cell r="F80">
            <v>693415.7</v>
          </cell>
          <cell r="G80">
            <v>688090</v>
          </cell>
          <cell r="H80">
            <v>688090</v>
          </cell>
          <cell r="I80">
            <v>-193684.30000000005</v>
          </cell>
          <cell r="J80">
            <v>-5325.6999999999534</v>
          </cell>
          <cell r="K80">
            <v>58068.60779999994</v>
          </cell>
          <cell r="L80">
            <v>136.47430133483743</v>
          </cell>
          <cell r="M80">
            <v>84.843865620682223</v>
          </cell>
          <cell r="N80">
            <v>83.424193445483354</v>
          </cell>
          <cell r="O80">
            <v>0.79858508475318424</v>
          </cell>
          <cell r="P80">
            <v>0.62108034201709805</v>
          </cell>
          <cell r="Q80">
            <v>0.62086536770588763</v>
          </cell>
        </row>
        <row r="81">
          <cell r="C81">
            <v>1444826.4483999999</v>
          </cell>
          <cell r="E81">
            <v>1903593</v>
          </cell>
          <cell r="F81">
            <v>1072512</v>
          </cell>
          <cell r="G81">
            <v>1072512</v>
          </cell>
          <cell r="H81">
            <v>1072512</v>
          </cell>
          <cell r="I81">
            <v>-831081</v>
          </cell>
          <cell r="J81">
            <v>0</v>
          </cell>
          <cell r="K81">
            <v>0</v>
          </cell>
          <cell r="L81">
            <v>31.752363898656345</v>
          </cell>
          <cell r="M81">
            <v>-25.768800731208973</v>
          </cell>
          <cell r="N81">
            <v>-25.768800731208973</v>
          </cell>
          <cell r="O81">
            <v>1.713652324699096</v>
          </cell>
          <cell r="P81">
            <v>0.96063028249496218</v>
          </cell>
          <cell r="Q81">
            <v>0.9677303219767428</v>
          </cell>
        </row>
        <row r="82">
          <cell r="C82">
            <v>740148.16318849998</v>
          </cell>
          <cell r="E82">
            <v>810229</v>
          </cell>
          <cell r="F82">
            <v>789458.3</v>
          </cell>
          <cell r="G82">
            <v>769226</v>
          </cell>
          <cell r="H82">
            <v>769226</v>
          </cell>
          <cell r="I82">
            <v>-20770.699999999953</v>
          </cell>
          <cell r="J82">
            <v>-20232.300000000047</v>
          </cell>
          <cell r="K82">
            <v>0</v>
          </cell>
          <cell r="L82">
            <v>9.4684875673537228</v>
          </cell>
          <cell r="M82">
            <v>6.662198092754279</v>
          </cell>
          <cell r="N82">
            <v>3.9286508104316553</v>
          </cell>
          <cell r="O82">
            <v>0.72938427982695031</v>
          </cell>
          <cell r="P82">
            <v>0.70710402284262797</v>
          </cell>
          <cell r="Q82">
            <v>0.69407458811918377</v>
          </cell>
        </row>
        <row r="83">
          <cell r="O83" t="str">
            <v/>
          </cell>
        </row>
        <row r="84">
          <cell r="C84">
            <v>1790818.7000000002</v>
          </cell>
          <cell r="E84">
            <v>1983921</v>
          </cell>
          <cell r="F84">
            <v>2817881.6148455972</v>
          </cell>
          <cell r="G84">
            <v>3517000</v>
          </cell>
          <cell r="H84">
            <v>3517000</v>
          </cell>
          <cell r="I84">
            <v>833960.61484559719</v>
          </cell>
          <cell r="J84">
            <v>699118.38515440281</v>
          </cell>
          <cell r="K84">
            <v>149421</v>
          </cell>
          <cell r="L84">
            <v>2.2513352345073567</v>
          </cell>
          <cell r="M84">
            <v>45.233685036214702</v>
          </cell>
          <cell r="N84">
            <v>81.266263132333577</v>
          </cell>
          <cell r="O84">
            <v>1.7859651898643014</v>
          </cell>
          <cell r="P84">
            <v>2.5239273888837475</v>
          </cell>
          <cell r="Q84">
            <v>3.1733980994079363</v>
          </cell>
        </row>
        <row r="85">
          <cell r="C85">
            <v>3874041.1</v>
          </cell>
          <cell r="E85">
            <v>5409063</v>
          </cell>
          <cell r="F85">
            <v>6256646.1322326977</v>
          </cell>
          <cell r="G85">
            <v>7003000</v>
          </cell>
          <cell r="H85">
            <v>7003000</v>
          </cell>
          <cell r="I85">
            <v>847583.13223269768</v>
          </cell>
          <cell r="J85">
            <v>746353.86776730232</v>
          </cell>
          <cell r="K85">
            <v>149421</v>
          </cell>
          <cell r="L85">
            <v>34.438025401059448</v>
          </cell>
          <cell r="M85">
            <v>55.504040468846405</v>
          </cell>
          <cell r="N85">
            <v>74.054081433996856</v>
          </cell>
          <cell r="O85">
            <v>4.8693462228500879</v>
          </cell>
          <cell r="P85">
            <v>5.6039687588369258</v>
          </cell>
          <cell r="Q85">
            <v>6.3188248194921179</v>
          </cell>
        </row>
        <row r="86">
          <cell r="C86">
            <v>3874041.1</v>
          </cell>
          <cell r="E86">
            <v>4783063</v>
          </cell>
          <cell r="F86">
            <v>5277646.1322326977</v>
          </cell>
          <cell r="G86">
            <v>6044000</v>
          </cell>
          <cell r="H86">
            <v>6044000</v>
          </cell>
          <cell r="I86">
            <v>494583.13223269768</v>
          </cell>
          <cell r="J86">
            <v>766353.86776730232</v>
          </cell>
          <cell r="K86">
            <v>40</v>
          </cell>
          <cell r="L86">
            <v>23.463161367478857</v>
          </cell>
          <cell r="M86">
            <v>36.229624419393211</v>
          </cell>
          <cell r="N86">
            <v>56.011189337259857</v>
          </cell>
          <cell r="O86">
            <v>4.3058085573608604</v>
          </cell>
          <cell r="P86">
            <v>4.7270955429078096</v>
          </cell>
          <cell r="Q86">
            <v>5.4535166655733764</v>
          </cell>
        </row>
        <row r="87">
          <cell r="F87">
            <v>1700000</v>
          </cell>
          <cell r="G87">
            <v>2200000</v>
          </cell>
          <cell r="J87">
            <v>500000</v>
          </cell>
          <cell r="K87">
            <v>591100</v>
          </cell>
          <cell r="L87">
            <v>-100</v>
          </cell>
          <cell r="M87">
            <v>187.59939096599561</v>
          </cell>
          <cell r="N87">
            <v>272.18744713246485</v>
          </cell>
          <cell r="O87" t="str">
            <v/>
          </cell>
          <cell r="P87">
            <v>1.5226603340955025</v>
          </cell>
          <cell r="Q87">
            <v>1.985065629427768</v>
          </cell>
        </row>
        <row r="88">
          <cell r="F88">
            <v>1800246.1</v>
          </cell>
          <cell r="G88">
            <v>2067000</v>
          </cell>
          <cell r="J88">
            <v>266753.89999999991</v>
          </cell>
          <cell r="K88">
            <v>1636500</v>
          </cell>
          <cell r="L88">
            <v>-100</v>
          </cell>
          <cell r="M88">
            <v>10.005872288420425</v>
          </cell>
          <cell r="N88">
            <v>26.306141154903749</v>
          </cell>
          <cell r="O88" t="str">
            <v/>
          </cell>
          <cell r="P88">
            <v>1.6124490165177208</v>
          </cell>
          <cell r="Q88">
            <v>1.865059389103271</v>
          </cell>
        </row>
        <row r="89">
          <cell r="F89">
            <v>1777400</v>
          </cell>
          <cell r="G89">
            <v>1777400</v>
          </cell>
          <cell r="J89">
            <v>0</v>
          </cell>
          <cell r="K89">
            <v>1497100</v>
          </cell>
          <cell r="L89">
            <v>-100</v>
          </cell>
          <cell r="M89">
            <v>18.722864204127987</v>
          </cell>
          <cell r="N89">
            <v>18.722864204127987</v>
          </cell>
          <cell r="O89" t="str">
            <v/>
          </cell>
          <cell r="P89">
            <v>1.5919861634243211</v>
          </cell>
          <cell r="Q89">
            <v>1.6037525680658704</v>
          </cell>
        </row>
        <row r="90">
          <cell r="C90">
            <v>0</v>
          </cell>
          <cell r="E90">
            <v>200000</v>
          </cell>
          <cell r="F90">
            <v>400000</v>
          </cell>
          <cell r="G90">
            <v>400000</v>
          </cell>
          <cell r="H90">
            <v>400000</v>
          </cell>
          <cell r="I90">
            <v>200000</v>
          </cell>
          <cell r="J90">
            <v>0</v>
          </cell>
          <cell r="K90">
            <v>0</v>
          </cell>
          <cell r="L90" t="str">
            <v>n.a.</v>
          </cell>
          <cell r="M90" t="str">
            <v>n.a.</v>
          </cell>
          <cell r="N90" t="str">
            <v>n.a.</v>
          </cell>
          <cell r="O90">
            <v>0.18004398258441759</v>
          </cell>
          <cell r="P90">
            <v>0.35827301978717702</v>
          </cell>
          <cell r="Q90">
            <v>0.36092102353232142</v>
          </cell>
        </row>
        <row r="91">
          <cell r="C91">
            <v>0</v>
          </cell>
          <cell r="E91">
            <v>0</v>
          </cell>
          <cell r="F91">
            <v>0</v>
          </cell>
          <cell r="G91">
            <v>0</v>
          </cell>
          <cell r="H91">
            <v>0</v>
          </cell>
          <cell r="I91">
            <v>0</v>
          </cell>
          <cell r="J91">
            <v>0</v>
          </cell>
          <cell r="K91">
            <v>0</v>
          </cell>
          <cell r="L91" t="str">
            <v>n.a.</v>
          </cell>
          <cell r="M91" t="str">
            <v>n.a.</v>
          </cell>
          <cell r="N91" t="str">
            <v>n.a.</v>
          </cell>
          <cell r="O91" t="str">
            <v/>
          </cell>
          <cell r="P91" t="str">
            <v/>
          </cell>
          <cell r="Q91" t="str">
            <v/>
          </cell>
        </row>
        <row r="92">
          <cell r="C92">
            <v>0</v>
          </cell>
          <cell r="E92">
            <v>426000</v>
          </cell>
          <cell r="F92">
            <v>426000</v>
          </cell>
          <cell r="G92">
            <v>426000</v>
          </cell>
          <cell r="H92">
            <v>426000</v>
          </cell>
          <cell r="I92">
            <v>0</v>
          </cell>
          <cell r="J92">
            <v>0</v>
          </cell>
          <cell r="K92">
            <v>0</v>
          </cell>
          <cell r="L92" t="str">
            <v>n.a.</v>
          </cell>
          <cell r="M92" t="str">
            <v>n.a.</v>
          </cell>
          <cell r="N92" t="str">
            <v>n.a.</v>
          </cell>
          <cell r="O92">
            <v>0.38349368290480945</v>
          </cell>
          <cell r="P92">
            <v>0.38156076607334355</v>
          </cell>
          <cell r="Q92">
            <v>0.38438089006192233</v>
          </cell>
        </row>
        <row r="93">
          <cell r="C93">
            <v>0</v>
          </cell>
          <cell r="F93">
            <v>153000</v>
          </cell>
          <cell r="G93">
            <v>133000</v>
          </cell>
          <cell r="H93">
            <v>133000</v>
          </cell>
          <cell r="I93">
            <v>153000</v>
          </cell>
          <cell r="J93">
            <v>-20000</v>
          </cell>
          <cell r="K93">
            <v>149381</v>
          </cell>
          <cell r="L93">
            <v>-100</v>
          </cell>
          <cell r="M93">
            <v>2.422664194241575</v>
          </cell>
          <cell r="N93">
            <v>-10.96591936056125</v>
          </cell>
          <cell r="O93" t="str">
            <v/>
          </cell>
          <cell r="P93">
            <v>0.13703943006859523</v>
          </cell>
          <cell r="Q93">
            <v>0.12000624032449686</v>
          </cell>
        </row>
        <row r="94">
          <cell r="C94">
            <v>2083222.4</v>
          </cell>
          <cell r="E94">
            <v>3425142</v>
          </cell>
          <cell r="F94">
            <v>3438764.5173871005</v>
          </cell>
          <cell r="G94">
            <v>3486000</v>
          </cell>
          <cell r="H94">
            <v>3486000</v>
          </cell>
          <cell r="I94">
            <v>13622.517387100495</v>
          </cell>
          <cell r="J94">
            <v>47235.482612899505</v>
          </cell>
          <cell r="K94">
            <v>0</v>
          </cell>
          <cell r="L94">
            <v>64.415570800313986</v>
          </cell>
          <cell r="M94">
            <v>65.069486454595562</v>
          </cell>
          <cell r="N94">
            <v>67.33691035580263</v>
          </cell>
          <cell r="O94">
            <v>3.0833810329857858</v>
          </cell>
          <cell r="P94">
            <v>3.0800413699531775</v>
          </cell>
          <cell r="Q94">
            <v>3.1454267200841808</v>
          </cell>
        </row>
        <row r="95">
          <cell r="O95" t="str">
            <v/>
          </cell>
        </row>
        <row r="96">
          <cell r="C96">
            <v>746775.77</v>
          </cell>
          <cell r="E96">
            <v>470766</v>
          </cell>
          <cell r="F96">
            <v>476805.6</v>
          </cell>
          <cell r="G96">
            <v>699505.6</v>
          </cell>
          <cell r="H96">
            <v>699505.6</v>
          </cell>
          <cell r="I96">
            <v>6039.5999999999767</v>
          </cell>
          <cell r="J96">
            <v>222700</v>
          </cell>
          <cell r="K96">
            <v>0</v>
          </cell>
          <cell r="L96">
            <v>-36.960193553146482</v>
          </cell>
          <cell r="M96">
            <v>-36.151436729126871</v>
          </cell>
          <cell r="N96">
            <v>-6.3299014107005664</v>
          </cell>
          <cell r="O96">
            <v>0.42379292752667957</v>
          </cell>
          <cell r="P96">
            <v>0.42706645540859206</v>
          </cell>
          <cell r="Q96">
            <v>0.6311656927964765</v>
          </cell>
        </row>
        <row r="97">
          <cell r="C97">
            <v>272620.87</v>
          </cell>
          <cell r="E97">
            <v>0</v>
          </cell>
          <cell r="F97">
            <v>0</v>
          </cell>
          <cell r="G97">
            <v>0</v>
          </cell>
          <cell r="H97">
            <v>0</v>
          </cell>
          <cell r="I97">
            <v>0</v>
          </cell>
          <cell r="J97">
            <v>0</v>
          </cell>
          <cell r="K97">
            <v>0</v>
          </cell>
          <cell r="L97">
            <v>-100</v>
          </cell>
          <cell r="M97">
            <v>-100</v>
          </cell>
          <cell r="N97">
            <v>-100</v>
          </cell>
          <cell r="O97" t="str">
            <v/>
          </cell>
          <cell r="P97" t="str">
            <v/>
          </cell>
          <cell r="Q97" t="str">
            <v/>
          </cell>
        </row>
        <row r="98">
          <cell r="C98">
            <v>302763.90000000002</v>
          </cell>
          <cell r="E98">
            <v>0</v>
          </cell>
          <cell r="F98">
            <v>0</v>
          </cell>
          <cell r="G98">
            <v>0</v>
          </cell>
          <cell r="H98">
            <v>0</v>
          </cell>
          <cell r="I98">
            <v>0</v>
          </cell>
          <cell r="J98">
            <v>0</v>
          </cell>
          <cell r="K98">
            <v>0</v>
          </cell>
          <cell r="L98">
            <v>-100</v>
          </cell>
          <cell r="M98">
            <v>-100</v>
          </cell>
          <cell r="N98">
            <v>-100</v>
          </cell>
          <cell r="O98" t="str">
            <v/>
          </cell>
          <cell r="P98" t="str">
            <v/>
          </cell>
          <cell r="Q98" t="str">
            <v/>
          </cell>
        </row>
        <row r="99">
          <cell r="C99">
            <v>16117</v>
          </cell>
          <cell r="E99">
            <v>0</v>
          </cell>
          <cell r="F99">
            <v>0</v>
          </cell>
          <cell r="G99">
            <v>0</v>
          </cell>
          <cell r="H99">
            <v>0</v>
          </cell>
          <cell r="I99">
            <v>0</v>
          </cell>
          <cell r="J99">
            <v>0</v>
          </cell>
          <cell r="K99">
            <v>0</v>
          </cell>
          <cell r="L99">
            <v>-100</v>
          </cell>
          <cell r="M99">
            <v>-100</v>
          </cell>
          <cell r="N99">
            <v>-100</v>
          </cell>
          <cell r="O99" t="str">
            <v/>
          </cell>
          <cell r="P99" t="str">
            <v/>
          </cell>
          <cell r="Q99" t="str">
            <v/>
          </cell>
        </row>
        <row r="100">
          <cell r="C100">
            <v>17507</v>
          </cell>
          <cell r="E100">
            <v>0</v>
          </cell>
          <cell r="F100">
            <v>0</v>
          </cell>
          <cell r="G100">
            <v>0</v>
          </cell>
          <cell r="H100">
            <v>0</v>
          </cell>
          <cell r="I100">
            <v>0</v>
          </cell>
          <cell r="J100">
            <v>0</v>
          </cell>
          <cell r="K100">
            <v>0</v>
          </cell>
          <cell r="L100">
            <v>-100</v>
          </cell>
          <cell r="M100">
            <v>-100</v>
          </cell>
          <cell r="N100">
            <v>-100</v>
          </cell>
          <cell r="O100" t="str">
            <v/>
          </cell>
          <cell r="P100" t="str">
            <v/>
          </cell>
          <cell r="Q100" t="str">
            <v/>
          </cell>
        </row>
        <row r="101">
          <cell r="C101">
            <v>4167</v>
          </cell>
          <cell r="E101">
            <v>158439</v>
          </cell>
          <cell r="F101">
            <v>164505.60000000001</v>
          </cell>
          <cell r="G101">
            <v>164505.60000000001</v>
          </cell>
          <cell r="H101">
            <v>164505.60000000001</v>
          </cell>
          <cell r="I101">
            <v>6066.6000000000058</v>
          </cell>
          <cell r="J101">
            <v>0</v>
          </cell>
          <cell r="K101">
            <v>0</v>
          </cell>
          <cell r="L101">
            <v>3702.2318214542834</v>
          </cell>
          <cell r="M101">
            <v>3847.8185745140395</v>
          </cell>
          <cell r="N101">
            <v>3847.8185745140395</v>
          </cell>
          <cell r="O101">
            <v>0.14262994278346269</v>
          </cell>
          <cell r="P101">
            <v>0.1473447952097536</v>
          </cell>
          <cell r="Q101">
            <v>0.14843382382199666</v>
          </cell>
        </row>
        <row r="102">
          <cell r="C102">
            <v>133600</v>
          </cell>
          <cell r="E102">
            <v>312327</v>
          </cell>
          <cell r="F102">
            <v>312300</v>
          </cell>
          <cell r="G102">
            <v>535000</v>
          </cell>
          <cell r="H102">
            <v>535000</v>
          </cell>
          <cell r="I102">
            <v>-27</v>
          </cell>
          <cell r="J102">
            <v>222700</v>
          </cell>
          <cell r="K102">
            <v>0</v>
          </cell>
          <cell r="L102">
            <v>133.77769461077844</v>
          </cell>
          <cell r="M102">
            <v>133.75748502994011</v>
          </cell>
          <cell r="N102">
            <v>300.44910179640721</v>
          </cell>
          <cell r="O102">
            <v>0.28116298474321694</v>
          </cell>
          <cell r="P102">
            <v>0.27972166019883848</v>
          </cell>
          <cell r="Q102">
            <v>0.48273186897447989</v>
          </cell>
        </row>
        <row r="103">
          <cell r="C103">
            <v>0</v>
          </cell>
          <cell r="E103">
            <v>0</v>
          </cell>
          <cell r="F103">
            <v>0</v>
          </cell>
          <cell r="G103">
            <v>0</v>
          </cell>
          <cell r="H103">
            <v>0</v>
          </cell>
          <cell r="I103">
            <v>0</v>
          </cell>
          <cell r="J103">
            <v>0</v>
          </cell>
          <cell r="K103">
            <v>0</v>
          </cell>
          <cell r="L103" t="str">
            <v>n.a.</v>
          </cell>
          <cell r="M103" t="str">
            <v>n.a.</v>
          </cell>
          <cell r="N103" t="str">
            <v>n.a.</v>
          </cell>
          <cell r="O103" t="str">
            <v/>
          </cell>
          <cell r="P103" t="str">
            <v/>
          </cell>
          <cell r="Q103" t="str">
            <v/>
          </cell>
        </row>
        <row r="104">
          <cell r="O104" t="str">
            <v/>
          </cell>
        </row>
        <row r="105">
          <cell r="C105">
            <v>305800</v>
          </cell>
          <cell r="E105">
            <v>247105</v>
          </cell>
          <cell r="F105">
            <v>389161.97207981616</v>
          </cell>
          <cell r="G105">
            <v>125500</v>
          </cell>
          <cell r="H105">
            <v>125500</v>
          </cell>
          <cell r="I105">
            <v>142056.97207981616</v>
          </cell>
          <cell r="J105">
            <v>-263661.97207981616</v>
          </cell>
          <cell r="K105">
            <v>0</v>
          </cell>
          <cell r="L105">
            <v>-19.193917593198172</v>
          </cell>
          <cell r="M105">
            <v>27.260291720018358</v>
          </cell>
          <cell r="N105">
            <v>-58.960104643557877</v>
          </cell>
          <cell r="O105">
            <v>0.22244884158261255</v>
          </cell>
          <cell r="P105">
            <v>0.34856558730842202</v>
          </cell>
          <cell r="Q105">
            <v>0.11323897113326585</v>
          </cell>
        </row>
        <row r="106">
          <cell r="C106">
            <v>-307002</v>
          </cell>
          <cell r="E106">
            <v>530132</v>
          </cell>
          <cell r="F106">
            <v>399361.97207981616</v>
          </cell>
          <cell r="G106">
            <v>76600</v>
          </cell>
          <cell r="H106">
            <v>76600</v>
          </cell>
          <cell r="I106">
            <v>-130770.02792018384</v>
          </cell>
          <cell r="J106">
            <v>-322761.97207981616</v>
          </cell>
          <cell r="K106">
            <v>0</v>
          </cell>
          <cell r="L106">
            <v>-272.68030827160732</v>
          </cell>
          <cell r="M106">
            <v>-230.08448546909017</v>
          </cell>
          <cell r="N106">
            <v>-124.95097751806176</v>
          </cell>
          <cell r="O106">
            <v>0.47723538287721229</v>
          </cell>
          <cell r="P106">
            <v>0.35770154931299508</v>
          </cell>
          <cell r="Q106">
            <v>6.911637600643955E-2</v>
          </cell>
        </row>
        <row r="107">
          <cell r="C107">
            <v>39498</v>
          </cell>
          <cell r="E107">
            <v>79300</v>
          </cell>
          <cell r="F107">
            <v>82168</v>
          </cell>
          <cell r="G107">
            <v>78400</v>
          </cell>
          <cell r="H107">
            <v>78400</v>
          </cell>
          <cell r="I107">
            <v>2868</v>
          </cell>
          <cell r="J107">
            <v>-3768</v>
          </cell>
          <cell r="K107">
            <v>0</v>
          </cell>
          <cell r="L107">
            <v>100.76965922325184</v>
          </cell>
          <cell r="M107">
            <v>108.03078636893008</v>
          </cell>
          <cell r="N107">
            <v>98.491062838624742</v>
          </cell>
          <cell r="O107">
            <v>7.1387439094721575E-2</v>
          </cell>
          <cell r="P107">
            <v>7.3596443724681909E-2</v>
          </cell>
          <cell r="Q107">
            <v>7.0740520612335003E-2</v>
          </cell>
        </row>
        <row r="108">
          <cell r="C108">
            <v>-436497</v>
          </cell>
          <cell r="E108">
            <v>458041</v>
          </cell>
          <cell r="F108">
            <v>620603.80000000005</v>
          </cell>
          <cell r="G108">
            <v>443700</v>
          </cell>
          <cell r="H108">
            <v>443700</v>
          </cell>
          <cell r="I108">
            <v>162562.80000000005</v>
          </cell>
          <cell r="J108">
            <v>-176903.80000000005</v>
          </cell>
          <cell r="K108">
            <v>0</v>
          </cell>
          <cell r="L108">
            <v>-204.93565820612741</v>
          </cell>
          <cell r="M108">
            <v>-242.17825093872355</v>
          </cell>
          <cell r="N108">
            <v>-201.65018316277087</v>
          </cell>
          <cell r="O108">
            <v>0.41233762913474609</v>
          </cell>
          <cell r="P108">
            <v>0.55586399379349316</v>
          </cell>
          <cell r="Q108">
            <v>0.40035164535322754</v>
          </cell>
        </row>
        <row r="109">
          <cell r="C109">
            <v>0</v>
          </cell>
          <cell r="E109">
            <v>-97751</v>
          </cell>
          <cell r="F109">
            <v>0</v>
          </cell>
          <cell r="G109">
            <v>0</v>
          </cell>
          <cell r="H109">
            <v>0</v>
          </cell>
          <cell r="I109">
            <v>97751</v>
          </cell>
          <cell r="J109">
            <v>0</v>
          </cell>
          <cell r="K109">
            <v>0</v>
          </cell>
          <cell r="L109" t="str">
            <v>n.a.</v>
          </cell>
          <cell r="M109" t="str">
            <v>n.a.</v>
          </cell>
          <cell r="N109" t="str">
            <v>n.a.</v>
          </cell>
          <cell r="O109">
            <v>-8.7997396708047015E-2</v>
          </cell>
          <cell r="P109" t="str">
            <v/>
          </cell>
          <cell r="Q109" t="str">
            <v/>
          </cell>
        </row>
        <row r="110">
          <cell r="C110">
            <v>89997</v>
          </cell>
          <cell r="E110">
            <v>90542</v>
          </cell>
          <cell r="F110">
            <v>8890.172079816135</v>
          </cell>
          <cell r="G110">
            <v>89500</v>
          </cell>
          <cell r="H110">
            <v>89500</v>
          </cell>
          <cell r="I110">
            <v>-81651.82792018386</v>
          </cell>
          <cell r="J110">
            <v>80609.82792018386</v>
          </cell>
          <cell r="K110">
            <v>0</v>
          </cell>
          <cell r="L110">
            <v>0.60557574141359982</v>
          </cell>
          <cell r="M110">
            <v>-90.121701745818044</v>
          </cell>
          <cell r="N110">
            <v>-0.55224063024322811</v>
          </cell>
          <cell r="O110">
            <v>8.1507711355791684E-2</v>
          </cell>
          <cell r="P110">
            <v>7.9627719936584372E-3</v>
          </cell>
          <cell r="Q110">
            <v>8.0756079015356919E-2</v>
          </cell>
        </row>
        <row r="111">
          <cell r="F111">
            <v>-312300</v>
          </cell>
          <cell r="G111">
            <v>-535000</v>
          </cell>
          <cell r="H111">
            <v>-535000</v>
          </cell>
          <cell r="I111">
            <v>-312300</v>
          </cell>
          <cell r="J111">
            <v>-222700</v>
          </cell>
          <cell r="K111">
            <v>0</v>
          </cell>
          <cell r="L111" t="str">
            <v>n.a.</v>
          </cell>
          <cell r="M111" t="str">
            <v>n.a.</v>
          </cell>
          <cell r="N111" t="str">
            <v>n.a.</v>
          </cell>
          <cell r="O111" t="str">
            <v/>
          </cell>
          <cell r="P111">
            <v>-0.27972166019883848</v>
          </cell>
          <cell r="Q111">
            <v>-0.48273186897447989</v>
          </cell>
        </row>
        <row r="112">
          <cell r="C112">
            <v>612802</v>
          </cell>
          <cell r="E112">
            <v>-283027</v>
          </cell>
          <cell r="F112">
            <v>-10200</v>
          </cell>
          <cell r="G112">
            <v>48900</v>
          </cell>
          <cell r="H112">
            <v>48900</v>
          </cell>
          <cell r="I112">
            <v>272827</v>
          </cell>
          <cell r="J112">
            <v>59100</v>
          </cell>
          <cell r="K112">
            <v>0</v>
          </cell>
          <cell r="L112">
            <v>-146.18571740953848</v>
          </cell>
          <cell r="M112">
            <v>-101.66448542922511</v>
          </cell>
          <cell r="N112">
            <v>-92.020261030479674</v>
          </cell>
          <cell r="O112">
            <v>-0.25478654129459977</v>
          </cell>
          <cell r="P112">
            <v>-9.1359620045730148E-3</v>
          </cell>
          <cell r="Q112">
            <v>4.4122595126826293E-2</v>
          </cell>
        </row>
        <row r="113">
          <cell r="C113">
            <v>37702</v>
          </cell>
          <cell r="E113">
            <v>57300</v>
          </cell>
          <cell r="F113">
            <v>57800</v>
          </cell>
          <cell r="G113">
            <v>56900</v>
          </cell>
          <cell r="H113">
            <v>56900</v>
          </cell>
          <cell r="I113">
            <v>500</v>
          </cell>
          <cell r="J113">
            <v>-900</v>
          </cell>
          <cell r="K113">
            <v>0</v>
          </cell>
          <cell r="L113">
            <v>51.981327250543742</v>
          </cell>
          <cell r="M113">
            <v>53.307516842607818</v>
          </cell>
          <cell r="N113">
            <v>50.920375576892461</v>
          </cell>
          <cell r="O113">
            <v>5.1582601010435644E-2</v>
          </cell>
          <cell r="P113">
            <v>5.1770451359247086E-2</v>
          </cell>
          <cell r="Q113">
            <v>5.1341015597472721E-2</v>
          </cell>
        </row>
        <row r="114">
          <cell r="C114">
            <v>620100</v>
          </cell>
          <cell r="E114">
            <v>-235327</v>
          </cell>
          <cell r="F114">
            <v>37000</v>
          </cell>
          <cell r="G114">
            <v>77000</v>
          </cell>
          <cell r="H114">
            <v>77000</v>
          </cell>
          <cell r="I114">
            <v>272327</v>
          </cell>
          <cell r="J114">
            <v>40000</v>
          </cell>
          <cell r="K114">
            <v>0</v>
          </cell>
          <cell r="L114">
            <v>-137.94984679890342</v>
          </cell>
          <cell r="M114">
            <v>-94.033220448314793</v>
          </cell>
          <cell r="N114">
            <v>-87.582647960006454</v>
          </cell>
          <cell r="O114">
            <v>-0.21184605144821617</v>
          </cell>
          <cell r="P114">
            <v>3.3140254330313874E-2</v>
          </cell>
          <cell r="Q114">
            <v>6.947729702997188E-2</v>
          </cell>
        </row>
        <row r="115">
          <cell r="C115">
            <v>-45000</v>
          </cell>
          <cell r="E115">
            <v>-105000</v>
          </cell>
          <cell r="F115">
            <v>-105000</v>
          </cell>
          <cell r="G115">
            <v>-85000</v>
          </cell>
          <cell r="H115">
            <v>-85000</v>
          </cell>
          <cell r="I115">
            <v>0</v>
          </cell>
          <cell r="J115">
            <v>20000</v>
          </cell>
          <cell r="K115">
            <v>0</v>
          </cell>
          <cell r="L115">
            <v>133.33333333333334</v>
          </cell>
          <cell r="M115">
            <v>133.33333333333334</v>
          </cell>
          <cell r="N115">
            <v>88.888888888888886</v>
          </cell>
          <cell r="O115">
            <v>-9.4523090856819231E-2</v>
          </cell>
          <cell r="P115">
            <v>-9.4046667694133973E-2</v>
          </cell>
          <cell r="Q115">
            <v>-7.6695717500618307E-2</v>
          </cell>
        </row>
        <row r="116">
          <cell r="O116" t="str">
            <v/>
          </cell>
        </row>
        <row r="117">
          <cell r="C117">
            <v>-97919.910512499977</v>
          </cell>
          <cell r="E117">
            <v>-325992</v>
          </cell>
          <cell r="F117">
            <v>143224.00926732249</v>
          </cell>
          <cell r="G117">
            <v>-15107.434658093029</v>
          </cell>
          <cell r="H117">
            <v>-348698.69265809434</v>
          </cell>
          <cell r="I117">
            <v>469216.00926732249</v>
          </cell>
          <cell r="J117">
            <v>-158331.44392541551</v>
          </cell>
          <cell r="K117">
            <v>303061.75770000275</v>
          </cell>
          <cell r="L117">
            <v>-258.91053164888308</v>
          </cell>
          <cell r="M117">
            <v>-30.182938668572312</v>
          </cell>
          <cell r="N117">
            <v>-107.36438462713296</v>
          </cell>
          <cell r="O117">
            <v>-0.29346448985329732</v>
          </cell>
          <cell r="P117">
            <v>0.12828324576557565</v>
          </cell>
          <cell r="Q117">
            <v>-1.3631476949366506E-2</v>
          </cell>
        </row>
        <row r="119">
          <cell r="C119">
            <v>-4.0501517825990447</v>
          </cell>
          <cell r="E119">
            <v>-4.2850557877082673</v>
          </cell>
          <cell r="F119">
            <v>-3.8971062437395405</v>
          </cell>
          <cell r="G119">
            <v>-4.6284539439582524</v>
          </cell>
          <cell r="H119">
            <v>-4.9241161677171981</v>
          </cell>
          <cell r="I119">
            <v>0.38794954396872683</v>
          </cell>
          <cell r="J119">
            <v>-0.73134770021871187</v>
          </cell>
        </row>
        <row r="120">
          <cell r="C120">
            <v>-3.2141598571907508</v>
          </cell>
          <cell r="E120">
            <v>-3.8612628601815877</v>
          </cell>
          <cell r="F120">
            <v>-3.4700397883309484</v>
          </cell>
          <cell r="G120">
            <v>-3.9972882511617764</v>
          </cell>
          <cell r="H120">
            <v>-4.2929504749207208</v>
          </cell>
          <cell r="I120">
            <v>0.39122307185063931</v>
          </cell>
          <cell r="J120">
            <v>-0.52724846283082805</v>
          </cell>
        </row>
        <row r="121">
          <cell r="C121">
            <v>89328108</v>
          </cell>
          <cell r="E121">
            <v>111083968</v>
          </cell>
          <cell r="F121">
            <v>111646699</v>
          </cell>
          <cell r="G121">
            <v>110827570</v>
          </cell>
          <cell r="H121">
            <v>110827570</v>
          </cell>
        </row>
        <row r="123">
          <cell r="P123" t="str">
            <v>c:\opef1997.xls</v>
          </cell>
        </row>
      </sheetData>
      <sheetData sheetId="5" refreshError="1"/>
      <sheetData sheetId="6" refreshError="1">
        <row r="8">
          <cell r="C8" t="str">
            <v>Observ.</v>
          </cell>
          <cell r="N8" t="str">
            <v>Observ.</v>
          </cell>
          <cell r="Y8" t="str">
            <v>Observ.</v>
          </cell>
          <cell r="AL8" t="str">
            <v>Var. %</v>
          </cell>
          <cell r="AV8" t="str">
            <v>Var.%</v>
          </cell>
          <cell r="BG8" t="str">
            <v>% PIB</v>
          </cell>
          <cell r="BR8" t="str">
            <v>% PIB</v>
          </cell>
          <cell r="CC8" t="str">
            <v>% PIB</v>
          </cell>
        </row>
        <row r="9">
          <cell r="C9" t="str">
            <v>Ene-Feb/95</v>
          </cell>
          <cell r="N9" t="str">
            <v>Ene-Feb/96</v>
          </cell>
          <cell r="Y9" t="str">
            <v>Ene-Feb/97</v>
          </cell>
          <cell r="AL9" t="str">
            <v>96/95</v>
          </cell>
          <cell r="AV9" t="str">
            <v>97/96</v>
          </cell>
          <cell r="BG9" t="str">
            <v>Ene-Feb/95</v>
          </cell>
          <cell r="BR9" t="str">
            <v>Ene-Feb/96</v>
          </cell>
          <cell r="CC9" t="str">
            <v>Ene-Feb/97</v>
          </cell>
        </row>
        <row r="11">
          <cell r="C11">
            <v>1351.6</v>
          </cell>
          <cell r="N11">
            <v>1750.3765268</v>
          </cell>
          <cell r="Y11">
            <v>2074.7699591537189</v>
          </cell>
          <cell r="AL11">
            <v>29.504034240899692</v>
          </cell>
          <cell r="AV11">
            <v>18.532780083995306</v>
          </cell>
          <cell r="BG11">
            <v>1.8311704472717816</v>
          </cell>
          <cell r="BR11">
            <v>1.9623030335526566</v>
          </cell>
          <cell r="CC11">
            <v>1.8583352465743022</v>
          </cell>
        </row>
        <row r="12">
          <cell r="C12">
            <v>1200</v>
          </cell>
          <cell r="N12">
            <v>1554.6018999999999</v>
          </cell>
          <cell r="Y12">
            <v>1796.686580910241</v>
          </cell>
          <cell r="AL12">
            <v>29.550158333333322</v>
          </cell>
          <cell r="AV12">
            <v>15.572133348752581</v>
          </cell>
          <cell r="BG12">
            <v>1.6257802136180364</v>
          </cell>
          <cell r="BR12">
            <v>1.7446089917890577</v>
          </cell>
          <cell r="CC12">
            <v>1.6092608173845255</v>
          </cell>
        </row>
        <row r="13">
          <cell r="C13">
            <v>852.3605</v>
          </cell>
          <cell r="N13">
            <v>1037.623</v>
          </cell>
          <cell r="Y13">
            <v>1304.0493093476998</v>
          </cell>
          <cell r="AL13">
            <v>21.735228227962232</v>
          </cell>
          <cell r="AV13">
            <v>25.676600205247937</v>
          </cell>
          <cell r="BG13">
            <v>1.1547923631413135</v>
          </cell>
          <cell r="BR13">
            <v>1.1537978561830191</v>
          </cell>
          <cell r="CC13">
            <v>1.2117629572288473</v>
          </cell>
        </row>
        <row r="14">
          <cell r="C14">
            <v>463.64150000000001</v>
          </cell>
          <cell r="N14">
            <v>546.55399999999997</v>
          </cell>
          <cell r="Y14">
            <v>611.93854244269994</v>
          </cell>
          <cell r="AL14">
            <v>17.882890120923168</v>
          </cell>
          <cell r="AV14">
            <v>11.96305258816146</v>
          </cell>
          <cell r="BG14">
            <v>0.62814931409348906</v>
          </cell>
          <cell r="BR14">
            <v>0.60774754750834725</v>
          </cell>
          <cell r="CC14">
            <v>0.56863222312014827</v>
          </cell>
        </row>
        <row r="15">
          <cell r="C15">
            <v>388.71899999999999</v>
          </cell>
          <cell r="N15">
            <v>491.06900000000002</v>
          </cell>
          <cell r="Y15">
            <v>692.11076690499999</v>
          </cell>
          <cell r="AL15">
            <v>26.330073909430716</v>
          </cell>
          <cell r="AV15">
            <v>40.939616816577697</v>
          </cell>
          <cell r="BG15">
            <v>0.52664304904782455</v>
          </cell>
          <cell r="BR15">
            <v>0.54605030867467186</v>
          </cell>
          <cell r="CC15">
            <v>0.64313073410869914</v>
          </cell>
        </row>
        <row r="16">
          <cell r="C16">
            <v>321.7</v>
          </cell>
          <cell r="N16">
            <v>402.43200000000002</v>
          </cell>
          <cell r="Y16">
            <v>365.20456975399998</v>
          </cell>
          <cell r="AL16">
            <v>25.095430525334162</v>
          </cell>
          <cell r="AV16">
            <v>-9.2506138294171532</v>
          </cell>
          <cell r="BG16">
            <v>0.43584457893410189</v>
          </cell>
          <cell r="BR16">
            <v>0.44748928932709164</v>
          </cell>
          <cell r="CC16">
            <v>0.3393593833196078</v>
          </cell>
        </row>
        <row r="17">
          <cell r="C17">
            <v>128.68</v>
          </cell>
          <cell r="N17">
            <v>149.88300000000001</v>
          </cell>
          <cell r="Y17">
            <v>136.70456975400006</v>
          </cell>
          <cell r="AL17">
            <v>16.477308050979179</v>
          </cell>
          <cell r="AV17">
            <v>-8.7924782970716819</v>
          </cell>
          <cell r="BG17">
            <v>0.17433783157364077</v>
          </cell>
          <cell r="BR17">
            <v>0.16666427409403942</v>
          </cell>
          <cell r="CC17">
            <v>0.12703011498442965</v>
          </cell>
        </row>
        <row r="18">
          <cell r="C18">
            <v>193.01999999999998</v>
          </cell>
          <cell r="N18">
            <v>252.54900000000001</v>
          </cell>
          <cell r="Y18">
            <v>228.49999999999991</v>
          </cell>
          <cell r="AL18">
            <v>30.840845508237514</v>
          </cell>
          <cell r="AV18">
            <v>-9.5225085033003865</v>
          </cell>
          <cell r="BG18">
            <v>0.26150674736046114</v>
          </cell>
          <cell r="BR18">
            <v>0.2808250152330522</v>
          </cell>
          <cell r="CC18">
            <v>0.21232926833517815</v>
          </cell>
        </row>
        <row r="19">
          <cell r="C19">
            <v>25.93950000000001</v>
          </cell>
          <cell r="N19">
            <v>114.54689999999982</v>
          </cell>
          <cell r="Y19">
            <v>168.74636304954106</v>
          </cell>
          <cell r="AL19">
            <v>341.59255189961169</v>
          </cell>
          <cell r="AV19">
            <v>47.316394463351962</v>
          </cell>
          <cell r="BG19">
            <v>3.5143271542620896E-2</v>
          </cell>
          <cell r="BR19">
            <v>0.12737185630273276</v>
          </cell>
          <cell r="CC19">
            <v>0.15114317266965599</v>
          </cell>
        </row>
        <row r="20">
          <cell r="C20">
            <v>0</v>
          </cell>
          <cell r="N20">
            <v>14.343999999999999</v>
          </cell>
          <cell r="Y20">
            <v>0</v>
          </cell>
          <cell r="AL20" t="str">
            <v>n.a.</v>
          </cell>
          <cell r="AV20">
            <v>-100</v>
          </cell>
          <cell r="BG20">
            <v>0</v>
          </cell>
          <cell r="BR20">
            <v>1.5949989976214121E-2</v>
          </cell>
          <cell r="CC20">
            <v>0</v>
          </cell>
        </row>
        <row r="21">
          <cell r="C21">
            <v>151.60000000000002</v>
          </cell>
          <cell r="N21">
            <v>195.77462679999999</v>
          </cell>
          <cell r="Y21">
            <v>270.95352384618951</v>
          </cell>
          <cell r="AL21">
            <v>29.138935883904992</v>
          </cell>
          <cell r="AV21">
            <v>38.400735720973181</v>
          </cell>
          <cell r="BG21">
            <v>0.20539023365374531</v>
          </cell>
          <cell r="BR21">
            <v>0.21769404176359874</v>
          </cell>
          <cell r="CC21">
            <v>0.25177839593479073</v>
          </cell>
        </row>
        <row r="23">
          <cell r="C23">
            <v>1355.4</v>
          </cell>
          <cell r="N23">
            <v>1770.2682138</v>
          </cell>
          <cell r="Y23">
            <v>2205.399487031254</v>
          </cell>
          <cell r="AL23">
            <v>30.608544621513943</v>
          </cell>
          <cell r="AV23">
            <v>24.579963072218035</v>
          </cell>
          <cell r="BG23">
            <v>1.8363187512815722</v>
          </cell>
          <cell r="BR23">
            <v>1.9684718534105186</v>
          </cell>
          <cell r="CC23">
            <v>2.0493254243681558</v>
          </cell>
        </row>
        <row r="25">
          <cell r="C25">
            <v>1215.9000000000001</v>
          </cell>
          <cell r="N25">
            <v>1533.5845286000001</v>
          </cell>
          <cell r="Y25">
            <v>1915.3692212066708</v>
          </cell>
          <cell r="AL25">
            <v>62.552194780643113</v>
          </cell>
          <cell r="AV25">
            <v>24.89492333071459</v>
          </cell>
          <cell r="BG25">
            <v>1.6473218014484754</v>
          </cell>
          <cell r="BR25">
            <v>1.7052884731488469</v>
          </cell>
          <cell r="CC25">
            <v>1.7798203296741033</v>
          </cell>
        </row>
        <row r="26">
          <cell r="C26">
            <v>294.5</v>
          </cell>
          <cell r="N26">
            <v>361.848885</v>
          </cell>
          <cell r="Y26">
            <v>386.72142430632664</v>
          </cell>
          <cell r="AL26">
            <v>22.868891341256358</v>
          </cell>
          <cell r="AV26">
            <v>6.8737366169655756</v>
          </cell>
          <cell r="BG26">
            <v>0.39899356075875975</v>
          </cell>
          <cell r="BR26">
            <v>0.40236238766412824</v>
          </cell>
          <cell r="CC26">
            <v>0.35935351016411532</v>
          </cell>
        </row>
        <row r="27">
          <cell r="C27">
            <v>109.7</v>
          </cell>
          <cell r="N27">
            <v>120.9159234</v>
          </cell>
          <cell r="Y27">
            <v>181.51572049261335</v>
          </cell>
          <cell r="AL27">
            <v>10.224178122151306</v>
          </cell>
          <cell r="AV27">
            <v>50.117300838983915</v>
          </cell>
          <cell r="BG27">
            <v>0.14862340786158218</v>
          </cell>
          <cell r="BR27">
            <v>0.13445397143019205</v>
          </cell>
          <cell r="CC27">
            <v>0.16867002242244777</v>
          </cell>
        </row>
        <row r="28">
          <cell r="C28">
            <v>811.7</v>
          </cell>
          <cell r="N28">
            <v>1050.8197202000001</v>
          </cell>
          <cell r="Y28">
            <v>1347.1320764077309</v>
          </cell>
          <cell r="AL28">
            <v>29.459125317235447</v>
          </cell>
          <cell r="AV28">
            <v>28.198210455294294</v>
          </cell>
          <cell r="BG28">
            <v>1.0997048328281336</v>
          </cell>
          <cell r="BR28">
            <v>1.1684721140545267</v>
          </cell>
          <cell r="CC28">
            <v>1.2517967970875403</v>
          </cell>
        </row>
        <row r="30">
          <cell r="C30">
            <v>139.5</v>
          </cell>
          <cell r="N30">
            <v>236.68368520000001</v>
          </cell>
          <cell r="Y30">
            <v>290.03026582458335</v>
          </cell>
          <cell r="AL30">
            <v>69.665724157706109</v>
          </cell>
          <cell r="AV30">
            <v>22.539187937480754</v>
          </cell>
          <cell r="BG30">
            <v>0.18899694983309673</v>
          </cell>
          <cell r="BR30">
            <v>0.26318338026167171</v>
          </cell>
          <cell r="CC30">
            <v>0.26950509469405265</v>
          </cell>
        </row>
        <row r="31">
          <cell r="C31">
            <v>97.1</v>
          </cell>
          <cell r="N31">
            <v>175.18020000000001</v>
          </cell>
          <cell r="Y31">
            <v>201.8348269</v>
          </cell>
          <cell r="AL31">
            <v>80.412152420185407</v>
          </cell>
          <cell r="AV31">
            <v>15.215547704592169</v>
          </cell>
          <cell r="BG31">
            <v>0.13155271561859277</v>
          </cell>
          <cell r="BR31">
            <v>0.19479381163072959</v>
          </cell>
          <cell r="CC31">
            <v>0.18755116463997529</v>
          </cell>
        </row>
        <row r="32">
          <cell r="C32">
            <v>42.4</v>
          </cell>
          <cell r="N32">
            <v>61.5034852</v>
          </cell>
          <cell r="Y32">
            <v>88.195438924583343</v>
          </cell>
          <cell r="AL32">
            <v>45.055389622641506</v>
          </cell>
          <cell r="AV32">
            <v>43.39909134870188</v>
          </cell>
          <cell r="BG32">
            <v>5.7444234214503953E-2</v>
          </cell>
          <cell r="BR32">
            <v>6.8389568630942116E-2</v>
          </cell>
          <cell r="CC32">
            <v>8.1953930054077376E-2</v>
          </cell>
        </row>
        <row r="34">
          <cell r="C34">
            <v>-3.8000000000001819</v>
          </cell>
          <cell r="N34">
            <v>-19.891687000000047</v>
          </cell>
          <cell r="Y34">
            <v>-129.41496909427769</v>
          </cell>
          <cell r="AL34">
            <v>423.46544736839718</v>
          </cell>
          <cell r="AV34">
            <v>550.59825792692891</v>
          </cell>
          <cell r="BG34">
            <v>-5.1483040097906052E-3</v>
          </cell>
          <cell r="BR34">
            <v>-6.1688198578619957E-3</v>
          </cell>
          <cell r="CC34">
            <v>-0.11591472945767765</v>
          </cell>
        </row>
        <row r="35">
          <cell r="CC35" t="str">
            <v/>
          </cell>
        </row>
        <row r="36">
          <cell r="C36">
            <v>152.9</v>
          </cell>
          <cell r="N36">
            <v>355.98207019999995</v>
          </cell>
          <cell r="Y36">
            <v>445.61932095476669</v>
          </cell>
          <cell r="AL36">
            <v>132.82018979725305</v>
          </cell>
          <cell r="AV36">
            <v>25.180271215459314</v>
          </cell>
          <cell r="BG36">
            <v>0.20715149555183146</v>
          </cell>
          <cell r="BR36">
            <v>0.39583870966271273</v>
          </cell>
          <cell r="CC36">
            <v>0.41408325765577492</v>
          </cell>
        </row>
        <row r="37">
          <cell r="C37">
            <v>152.9</v>
          </cell>
          <cell r="N37">
            <v>355.98207019999995</v>
          </cell>
          <cell r="Y37">
            <v>445.61932095476669</v>
          </cell>
          <cell r="AL37">
            <v>132.82018979725305</v>
          </cell>
          <cell r="AV37">
            <v>25.180271215459314</v>
          </cell>
          <cell r="BG37">
            <v>0.20715149555183146</v>
          </cell>
          <cell r="BR37">
            <v>0.39583870966271273</v>
          </cell>
          <cell r="CC37">
            <v>0.41408325765577492</v>
          </cell>
        </row>
        <row r="38">
          <cell r="N38">
            <v>0</v>
          </cell>
          <cell r="AL38" t="str">
            <v>n.a.</v>
          </cell>
          <cell r="AV38" t="str">
            <v>n.a.</v>
          </cell>
          <cell r="BG38">
            <v>0</v>
          </cell>
          <cell r="BR38">
            <v>0</v>
          </cell>
          <cell r="CC38" t="str">
            <v/>
          </cell>
        </row>
        <row r="40">
          <cell r="C40">
            <v>1508.3000000000002</v>
          </cell>
          <cell r="N40">
            <v>2126.2502839999997</v>
          </cell>
          <cell r="Y40">
            <v>2651.0188079860209</v>
          </cell>
          <cell r="AL40">
            <v>40.969985016243427</v>
          </cell>
          <cell r="AV40">
            <v>24.680468143138935</v>
          </cell>
          <cell r="BG40">
            <v>2.0434702468334036</v>
          </cell>
          <cell r="BR40">
            <v>2.3643105630732313</v>
          </cell>
          <cell r="CC40">
            <v>2.4634086820239309</v>
          </cell>
        </row>
        <row r="42">
          <cell r="C42">
            <v>-156.70000000000027</v>
          </cell>
          <cell r="N42">
            <v>-375.87375719999977</v>
          </cell>
          <cell r="Y42">
            <v>-581.9088414490443</v>
          </cell>
          <cell r="AL42">
            <v>139.86838366304983</v>
          </cell>
          <cell r="AV42">
            <v>54.814969202389598</v>
          </cell>
          <cell r="BG42">
            <v>-0.21229979956162204</v>
          </cell>
          <cell r="BR42">
            <v>-0.40200752952057472</v>
          </cell>
          <cell r="CC42">
            <v>-0.52120559466701688</v>
          </cell>
        </row>
        <row r="44">
          <cell r="C44">
            <v>21.799999999999997</v>
          </cell>
          <cell r="N44">
            <v>30.170460279310003</v>
          </cell>
          <cell r="Y44">
            <v>55.658390556203329</v>
          </cell>
          <cell r="AL44">
            <v>38.396606785825725</v>
          </cell>
          <cell r="AV44">
            <v>84.47975284743066</v>
          </cell>
          <cell r="BG44">
            <v>2.953500721406099E-2</v>
          </cell>
          <cell r="BR44">
            <v>3.354842017796715E-2</v>
          </cell>
          <cell r="CC44">
            <v>5.1719498221060159E-2</v>
          </cell>
        </row>
        <row r="46">
          <cell r="C46">
            <v>-178.50000000000028</v>
          </cell>
          <cell r="N46">
            <v>-406.04421747930979</v>
          </cell>
          <cell r="Y46">
            <v>-637.25664233272767</v>
          </cell>
          <cell r="AL46">
            <v>101.4717768772241</v>
          </cell>
          <cell r="AV46">
            <v>56.942671487545418</v>
          </cell>
          <cell r="BG46">
            <v>-0.24183480677568303</v>
          </cell>
          <cell r="BR46">
            <v>-0.43555594969854189</v>
          </cell>
          <cell r="CC46">
            <v>-0.57077965406995845</v>
          </cell>
        </row>
        <row r="48">
          <cell r="C48">
            <v>178.49999999999997</v>
          </cell>
          <cell r="N48">
            <v>406.35880005999991</v>
          </cell>
          <cell r="Y48">
            <v>786.32312548603068</v>
          </cell>
          <cell r="AL48">
            <v>127.65198882913165</v>
          </cell>
          <cell r="AV48">
            <v>93.504638110440339</v>
          </cell>
          <cell r="BG48">
            <v>0.24183480677568286</v>
          </cell>
          <cell r="BR48">
            <v>0.45185574370492176</v>
          </cell>
          <cell r="CC48">
            <v>0.73067577203273282</v>
          </cell>
        </row>
        <row r="50">
          <cell r="C50">
            <v>-20</v>
          </cell>
          <cell r="N50">
            <v>368.28438698000002</v>
          </cell>
          <cell r="Y50">
            <v>1057.3233530525597</v>
          </cell>
          <cell r="AL50">
            <v>-1941.4219349</v>
          </cell>
          <cell r="AV50">
            <v>187.09426476718343</v>
          </cell>
          <cell r="BG50">
            <v>-2.7096336893633929E-2</v>
          </cell>
          <cell r="BR50">
            <v>0.40951842447902703</v>
          </cell>
          <cell r="CC50">
            <v>0.98249756650917885</v>
          </cell>
        </row>
        <row r="51">
          <cell r="C51">
            <v>55.2</v>
          </cell>
          <cell r="N51">
            <v>464.97001040000004</v>
          </cell>
          <cell r="Y51">
            <v>1156.427368084393</v>
          </cell>
          <cell r="AL51">
            <v>742.33697536231875</v>
          </cell>
          <cell r="AV51">
            <v>148.71009790277711</v>
          </cell>
          <cell r="BG51">
            <v>7.4785889826429683E-2</v>
          </cell>
          <cell r="BR51">
            <v>0.517029211176811</v>
          </cell>
          <cell r="CC51">
            <v>1.0745880829240047</v>
          </cell>
        </row>
        <row r="52">
          <cell r="C52">
            <v>75.2</v>
          </cell>
          <cell r="N52">
            <v>96.685623419999999</v>
          </cell>
          <cell r="Y52">
            <v>99.104015031833342</v>
          </cell>
          <cell r="AL52">
            <v>28.571307739361696</v>
          </cell>
          <cell r="AV52">
            <v>2.5012939114307686</v>
          </cell>
          <cell r="BG52">
            <v>0.10188222672006361</v>
          </cell>
          <cell r="BR52">
            <v>0.10751078669778397</v>
          </cell>
          <cell r="CC52">
            <v>9.209051641482574E-2</v>
          </cell>
        </row>
        <row r="54">
          <cell r="C54">
            <v>189</v>
          </cell>
          <cell r="N54">
            <v>139.33639999999997</v>
          </cell>
          <cell r="Y54">
            <v>1085.5462213390001</v>
          </cell>
          <cell r="AL54">
            <v>-26.277037037037054</v>
          </cell>
          <cell r="AV54">
            <v>679.08301157414735</v>
          </cell>
          <cell r="BG54">
            <v>0.25606038364484074</v>
          </cell>
          <cell r="BR54">
            <v>0.1549368504825544</v>
          </cell>
          <cell r="CC54">
            <v>1.0087231287567937</v>
          </cell>
        </row>
        <row r="55">
          <cell r="C55">
            <v>338.7</v>
          </cell>
          <cell r="N55">
            <v>581.48199999999997</v>
          </cell>
          <cell r="Y55">
            <v>1294.443394439</v>
          </cell>
          <cell r="AL55">
            <v>71.680543253616776</v>
          </cell>
          <cell r="AV55">
            <v>122.61108588726736</v>
          </cell>
          <cell r="BG55">
            <v>0.45887646529369081</v>
          </cell>
          <cell r="BR55">
            <v>0.64658617340692548</v>
          </cell>
          <cell r="CC55">
            <v>1.2028368439498356</v>
          </cell>
        </row>
        <row r="56">
          <cell r="C56">
            <v>149.69999999999999</v>
          </cell>
          <cell r="N56">
            <v>442.1456</v>
          </cell>
          <cell r="Y56">
            <v>208.8971731</v>
          </cell>
          <cell r="AL56">
            <v>195.35444221776888</v>
          </cell>
          <cell r="AV56">
            <v>-52.753759598648053</v>
          </cell>
          <cell r="BG56">
            <v>0.20281608164885004</v>
          </cell>
          <cell r="BR56">
            <v>0.49164932292437108</v>
          </cell>
          <cell r="CC56">
            <v>0.19411371519304194</v>
          </cell>
        </row>
        <row r="58">
          <cell r="C58">
            <v>9.0999999999999659</v>
          </cell>
          <cell r="N58">
            <v>-101.26198692000006</v>
          </cell>
          <cell r="Y58">
            <v>-1521.0055514055289</v>
          </cell>
          <cell r="AL58">
            <v>-1212.7690870329718</v>
          </cell>
          <cell r="AV58">
            <v>1402.0498784081415</v>
          </cell>
          <cell r="BG58">
            <v>1.2328833286603405E-2</v>
          </cell>
          <cell r="BR58">
            <v>-0.11259953125665965</v>
          </cell>
          <cell r="CC58">
            <v>-1.4133654085937868</v>
          </cell>
        </row>
        <row r="59">
          <cell r="C59">
            <v>0</v>
          </cell>
          <cell r="N59">
            <v>0</v>
          </cell>
          <cell r="Y59">
            <v>91.614049333333355</v>
          </cell>
          <cell r="AL59" t="str">
            <v>n.a.</v>
          </cell>
          <cell r="AV59" t="str">
            <v>n.a.</v>
          </cell>
          <cell r="BG59">
            <v>0</v>
          </cell>
          <cell r="BR59">
            <v>0</v>
          </cell>
          <cell r="CC59">
            <v>8.5130608595928206E-2</v>
          </cell>
        </row>
        <row r="60">
          <cell r="C60">
            <v>69.3</v>
          </cell>
          <cell r="N60">
            <v>-88.561513997600088</v>
          </cell>
          <cell r="Y60">
            <v>-1560.4291113079034</v>
          </cell>
          <cell r="AL60">
            <v>-951.9088105132513</v>
          </cell>
          <cell r="AV60">
            <v>1661.9720360135095</v>
          </cell>
          <cell r="BG60">
            <v>9.3888807336441601E-2</v>
          </cell>
          <cell r="BR60">
            <v>-9.8477081744288056E-2</v>
          </cell>
          <cell r="CC60">
            <v>-1.4499989999690135</v>
          </cell>
        </row>
        <row r="61">
          <cell r="C61">
            <v>-60.200000000000031</v>
          </cell>
          <cell r="N61">
            <v>-12.70047292239996</v>
          </cell>
          <cell r="Y61">
            <v>-52.190489430958706</v>
          </cell>
          <cell r="AL61">
            <v>-78.902868899667851</v>
          </cell>
          <cell r="AV61">
            <v>310.93343334412202</v>
          </cell>
          <cell r="BG61">
            <v>-8.1559974049838196E-2</v>
          </cell>
          <cell r="BR61">
            <v>-1.4122449512371599E-2</v>
          </cell>
          <cell r="CC61">
            <v>-4.8497017220701599E-2</v>
          </cell>
        </row>
        <row r="63">
          <cell r="C63">
            <v>0.4</v>
          </cell>
          <cell r="N63">
            <v>0</v>
          </cell>
          <cell r="Y63">
            <v>164.4591025</v>
          </cell>
          <cell r="AL63">
            <v>167.65910249999999</v>
          </cell>
          <cell r="AV63" t="str">
            <v>n.a.</v>
          </cell>
          <cell r="BG63">
            <v>5.4192673787267884E-4</v>
          </cell>
          <cell r="BR63">
            <v>0</v>
          </cell>
          <cell r="CC63">
            <v>0.1528204853605474</v>
          </cell>
        </row>
        <row r="65">
          <cell r="C65">
            <v>-0.21586306542070674</v>
          </cell>
          <cell r="N65">
            <v>-0.40200752952057472</v>
          </cell>
          <cell r="Y65">
            <v>-0.52120559466701688</v>
          </cell>
          <cell r="CC65">
            <v>-0.52120559466701688</v>
          </cell>
        </row>
        <row r="66">
          <cell r="C66">
            <v>-0.24597064588245593</v>
          </cell>
          <cell r="N66">
            <v>-0.43555594969854189</v>
          </cell>
          <cell r="Y66">
            <v>-0.57077965406995845</v>
          </cell>
          <cell r="CC66">
            <v>-0.57077965406995845</v>
          </cell>
        </row>
        <row r="67">
          <cell r="C67">
            <v>35781.130639351853</v>
          </cell>
        </row>
        <row r="68">
          <cell r="C68">
            <v>-3.1263880373444408E-13</v>
          </cell>
          <cell r="N68">
            <v>0.31458258069011436</v>
          </cell>
          <cell r="Y68">
            <v>-0.98093126158437371</v>
          </cell>
          <cell r="BG68">
            <v>73810715</v>
          </cell>
        </row>
        <row r="69">
          <cell r="N69">
            <v>3.9322822586264294E-2</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 pagos"/>
      <sheetName val="P+D ingresos"/>
      <sheetName val="Dolares ingresos"/>
      <sheetName val="Pesos ingresos"/>
      <sheetName val="Dolares pagos"/>
      <sheetName val="Pesos pagos"/>
      <sheetName val="Seguimiento pagos"/>
      <sheetName val="Seguimiento ingresos"/>
      <sheetName val="Seguimiento Flujo"/>
      <sheetName val="Hoja2"/>
      <sheetName val="Hoja1"/>
      <sheetName val="Seguimiento Transferencias"/>
      <sheetName val="Gráfico3"/>
      <sheetName val="Reporte de Pagos"/>
      <sheetName val="Reporte Vicetecnico"/>
      <sheetName val="inversión"/>
      <sheetName val="Transferencias"/>
      <sheetName val="Calculo TC"/>
      <sheetName val="Gráfico TC"/>
      <sheetName val="Ejercicio Portafolio"/>
      <sheetName val="Rend. financieros"/>
      <sheetName val="Contingencias"/>
      <sheetName val="Resumen TES Convenidas"/>
      <sheetName val="TES Convenidas"/>
      <sheetName val="Gráfico1"/>
      <sheetName val="Comparación Tributarios"/>
      <sheetName val="Comparación Servicio Deuda"/>
      <sheetName val="Ahorro TES"/>
      <sheetName val="Flujo Tesorería"/>
      <sheetName val="P_D ingresos"/>
    </sheetNames>
    <sheetDataSet>
      <sheetData sheetId="0" refreshError="1"/>
      <sheetData sheetId="1" refreshError="1">
        <row r="2">
          <cell r="D2" t="str">
            <v>INGRESOS PROGRAMADOS DE RECAUDO PARA LA TESORERIA</v>
          </cell>
        </row>
        <row r="3">
          <cell r="D3" t="str">
            <v>PESOS MAS DOLARES</v>
          </cell>
        </row>
        <row r="4">
          <cell r="D4" t="str">
            <v>1997</v>
          </cell>
        </row>
        <row r="5">
          <cell r="D5" t="str">
            <v>Miles de millones de pesos</v>
          </cell>
        </row>
        <row r="7">
          <cell r="H7" t="str">
            <v>Progr.</v>
          </cell>
          <cell r="I7" t="str">
            <v>Progr.</v>
          </cell>
          <cell r="J7" t="str">
            <v>Progr.</v>
          </cell>
          <cell r="K7" t="str">
            <v>Progr.</v>
          </cell>
          <cell r="L7" t="str">
            <v>Progr.</v>
          </cell>
          <cell r="M7" t="str">
            <v>Progr.</v>
          </cell>
          <cell r="N7" t="str">
            <v>Progr.</v>
          </cell>
          <cell r="O7" t="str">
            <v>Progr.</v>
          </cell>
          <cell r="P7" t="str">
            <v>Progr.</v>
          </cell>
          <cell r="Q7" t="str">
            <v>Progr.</v>
          </cell>
          <cell r="R7" t="str">
            <v>Progr.</v>
          </cell>
          <cell r="S7" t="str">
            <v>Progr.</v>
          </cell>
          <cell r="T7" t="str">
            <v>Progr.</v>
          </cell>
        </row>
        <row r="8">
          <cell r="D8" t="str">
            <v>CLASIFICACION DE LOS INGRESOS</v>
          </cell>
          <cell r="H8" t="str">
            <v>Ene</v>
          </cell>
          <cell r="I8" t="str">
            <v>Feb</v>
          </cell>
          <cell r="J8" t="str">
            <v>Mar</v>
          </cell>
          <cell r="K8" t="str">
            <v>Abr</v>
          </cell>
          <cell r="L8" t="str">
            <v>May</v>
          </cell>
          <cell r="M8" t="str">
            <v>Jun</v>
          </cell>
          <cell r="N8" t="str">
            <v>Jul</v>
          </cell>
          <cell r="O8" t="str">
            <v>Ago</v>
          </cell>
          <cell r="P8" t="str">
            <v>Sep</v>
          </cell>
          <cell r="Q8" t="str">
            <v>Oct</v>
          </cell>
          <cell r="R8" t="str">
            <v>Nov</v>
          </cell>
          <cell r="S8" t="str">
            <v>Dic</v>
          </cell>
          <cell r="T8" t="str">
            <v>1997</v>
          </cell>
        </row>
        <row r="10">
          <cell r="D10" t="str">
            <v>INGRESOS DE TESORERIA</v>
          </cell>
          <cell r="H10">
            <v>1140.71421463775</v>
          </cell>
          <cell r="I10">
            <v>2651.9847937195022</v>
          </cell>
          <cell r="J10">
            <v>1471.5354278392447</v>
          </cell>
          <cell r="K10">
            <v>2179.6081448299437</v>
          </cell>
          <cell r="L10">
            <v>1722.8942551986092</v>
          </cell>
          <cell r="M10">
            <v>1729.869501630498</v>
          </cell>
          <cell r="N10">
            <v>2106.3267525148112</v>
          </cell>
          <cell r="O10">
            <v>2025.1217938814996</v>
          </cell>
          <cell r="P10">
            <v>2249.0322651158435</v>
          </cell>
          <cell r="Q10">
            <v>1516.7031570160511</v>
          </cell>
          <cell r="R10">
            <v>1087.8304174938371</v>
          </cell>
          <cell r="S10">
            <v>1825.5303261381632</v>
          </cell>
          <cell r="T10">
            <v>21707.151050015753</v>
          </cell>
        </row>
        <row r="11">
          <cell r="D11" t="str">
            <v>1.</v>
          </cell>
          <cell r="E11" t="str">
            <v>INGRESOS CORRIENTES</v>
          </cell>
          <cell r="H11">
            <v>701.07716910883323</v>
          </cell>
          <cell r="I11">
            <v>1406.6193999999998</v>
          </cell>
          <cell r="J11">
            <v>826.18571257264614</v>
          </cell>
          <cell r="K11">
            <v>1158.766599881033</v>
          </cell>
          <cell r="L11">
            <v>976.37469552680034</v>
          </cell>
          <cell r="M11">
            <v>1206.3580765977517</v>
          </cell>
          <cell r="N11">
            <v>1027.8358138803353</v>
          </cell>
          <cell r="O11">
            <v>1277.204922608692</v>
          </cell>
          <cell r="P11">
            <v>898.2148985554644</v>
          </cell>
          <cell r="Q11">
            <v>1272.599177865987</v>
          </cell>
          <cell r="R11">
            <v>823.23277349802368</v>
          </cell>
          <cell r="S11">
            <v>1316.082587592038</v>
          </cell>
          <cell r="T11">
            <v>12890.551827687605</v>
          </cell>
        </row>
        <row r="12">
          <cell r="E12" t="str">
            <v>1.1.</v>
          </cell>
          <cell r="F12" t="str">
            <v>TRIBUTARIOS NETOS</v>
          </cell>
          <cell r="H12">
            <v>671.87829999999997</v>
          </cell>
          <cell r="I12">
            <v>1377.8193999999999</v>
          </cell>
          <cell r="J12">
            <v>794.88571257264618</v>
          </cell>
          <cell r="K12">
            <v>1131.6356558932416</v>
          </cell>
          <cell r="L12">
            <v>945.92995185581094</v>
          </cell>
          <cell r="M12">
            <v>1178.2635413740968</v>
          </cell>
          <cell r="N12">
            <v>994.8713388384574</v>
          </cell>
          <cell r="O12">
            <v>1243.2382258038617</v>
          </cell>
          <cell r="P12">
            <v>861.34619358887539</v>
          </cell>
          <cell r="Q12">
            <v>1227.9154123284868</v>
          </cell>
          <cell r="R12">
            <v>777.51844656240587</v>
          </cell>
          <cell r="S12">
            <v>1263.7437255066948</v>
          </cell>
          <cell r="T12">
            <v>12469.045904324577</v>
          </cell>
        </row>
        <row r="13">
          <cell r="F13" t="str">
            <v>Impuesto sobre la Renta Neto</v>
          </cell>
          <cell r="H13">
            <v>300.03099999999995</v>
          </cell>
          <cell r="I13">
            <v>412.96669999999995</v>
          </cell>
          <cell r="J13">
            <v>422.38810000000001</v>
          </cell>
          <cell r="K13">
            <v>270.87149999999997</v>
          </cell>
          <cell r="L13">
            <v>532.38040000000001</v>
          </cell>
          <cell r="M13">
            <v>355.23997216044501</v>
          </cell>
          <cell r="N13">
            <v>558.91641758847641</v>
          </cell>
          <cell r="O13">
            <v>371.8090108792548</v>
          </cell>
          <cell r="P13">
            <v>440.37570174627211</v>
          </cell>
          <cell r="Q13">
            <v>279.42668778052632</v>
          </cell>
          <cell r="R13">
            <v>351.98717283484154</v>
          </cell>
          <cell r="S13">
            <v>304.67413701018359</v>
          </cell>
          <cell r="T13">
            <v>4601.0667999999996</v>
          </cell>
        </row>
        <row r="14">
          <cell r="F14" t="str">
            <v>Impuesto sobre las ventas Interno Neto</v>
          </cell>
          <cell r="H14">
            <v>72.3048</v>
          </cell>
          <cell r="I14">
            <v>659.58270000000005</v>
          </cell>
          <cell r="J14">
            <v>82.931100000000001</v>
          </cell>
          <cell r="K14">
            <v>541.2278</v>
          </cell>
          <cell r="L14">
            <v>82.533199999999994</v>
          </cell>
          <cell r="M14">
            <v>518.56355474227507</v>
          </cell>
          <cell r="N14">
            <v>116.99062830861816</v>
          </cell>
          <cell r="O14">
            <v>557.47218471947701</v>
          </cell>
          <cell r="P14">
            <v>104.88887038582527</v>
          </cell>
          <cell r="Q14">
            <v>628.72312106976005</v>
          </cell>
          <cell r="R14">
            <v>109.46175963320539</v>
          </cell>
          <cell r="S14">
            <v>630.82109977233199</v>
          </cell>
          <cell r="T14">
            <v>4105.5008186314926</v>
          </cell>
        </row>
        <row r="15">
          <cell r="F15" t="str">
            <v>-</v>
          </cell>
          <cell r="G15" t="str">
            <v>Devoluciones Impuestos Internos</v>
          </cell>
          <cell r="H15">
            <v>0</v>
          </cell>
          <cell r="I15">
            <v>0</v>
          </cell>
          <cell r="J15">
            <v>0</v>
          </cell>
          <cell r="K15">
            <v>0</v>
          </cell>
          <cell r="L15">
            <v>0</v>
          </cell>
          <cell r="M15">
            <v>0</v>
          </cell>
          <cell r="N15">
            <v>0</v>
          </cell>
          <cell r="O15">
            <v>0</v>
          </cell>
          <cell r="P15">
            <v>0</v>
          </cell>
          <cell r="Q15">
            <v>0</v>
          </cell>
          <cell r="R15">
            <v>0</v>
          </cell>
          <cell r="S15">
            <v>0</v>
          </cell>
          <cell r="T15">
            <v>0</v>
          </cell>
        </row>
        <row r="16">
          <cell r="F16" t="str">
            <v>Impuestos sobre aduanas y recargos Neto</v>
          </cell>
          <cell r="H16">
            <v>79.530992176990523</v>
          </cell>
          <cell r="I16">
            <v>79.5</v>
          </cell>
          <cell r="J16">
            <v>79.5</v>
          </cell>
          <cell r="K16">
            <v>86.8</v>
          </cell>
          <cell r="L16">
            <v>90.4</v>
          </cell>
          <cell r="M16">
            <v>83.529000000000011</v>
          </cell>
          <cell r="N16">
            <v>97.771530721467357</v>
          </cell>
          <cell r="O16">
            <v>97.880493855706547</v>
          </cell>
          <cell r="P16">
            <v>97.880493855706547</v>
          </cell>
          <cell r="Q16">
            <v>97.880493855706547</v>
          </cell>
          <cell r="R16">
            <v>97.880493855706547</v>
          </cell>
          <cell r="S16">
            <v>97.880493855706547</v>
          </cell>
          <cell r="T16">
            <v>1086.4339921769904</v>
          </cell>
        </row>
        <row r="17">
          <cell r="F17" t="str">
            <v>Impuesto sobre las ventas Externo Neto</v>
          </cell>
          <cell r="H17">
            <v>140.46900782300949</v>
          </cell>
          <cell r="I17">
            <v>140.5</v>
          </cell>
          <cell r="J17">
            <v>140.5</v>
          </cell>
          <cell r="K17">
            <v>153.19999999999999</v>
          </cell>
          <cell r="L17">
            <v>159.6</v>
          </cell>
          <cell r="M17">
            <v>143.29999999999998</v>
          </cell>
          <cell r="N17">
            <v>154.63297367285278</v>
          </cell>
          <cell r="O17">
            <v>154.83340526542943</v>
          </cell>
          <cell r="P17">
            <v>154.83340526542943</v>
          </cell>
          <cell r="Q17">
            <v>154.83340526542943</v>
          </cell>
          <cell r="R17">
            <v>154.83340526542943</v>
          </cell>
          <cell r="S17">
            <v>154.83340526542943</v>
          </cell>
          <cell r="T17">
            <v>1806.3690078230097</v>
          </cell>
        </row>
        <row r="18">
          <cell r="F18" t="str">
            <v>-</v>
          </cell>
          <cell r="G18" t="str">
            <v>Devoluciones Impuestos Externos</v>
          </cell>
          <cell r="H18">
            <v>0</v>
          </cell>
          <cell r="I18">
            <v>0</v>
          </cell>
          <cell r="J18">
            <v>0</v>
          </cell>
          <cell r="K18">
            <v>0</v>
          </cell>
          <cell r="L18">
            <v>0</v>
          </cell>
          <cell r="M18">
            <v>0</v>
          </cell>
          <cell r="N18">
            <v>0</v>
          </cell>
          <cell r="O18">
            <v>0</v>
          </cell>
          <cell r="P18">
            <v>0</v>
          </cell>
          <cell r="Q18">
            <v>0</v>
          </cell>
          <cell r="R18">
            <v>0</v>
          </cell>
          <cell r="S18">
            <v>0</v>
          </cell>
          <cell r="T18">
            <v>0</v>
          </cell>
        </row>
        <row r="19">
          <cell r="F19" t="str">
            <v>Impuesto Global a la Gasolina y al ACPM</v>
          </cell>
          <cell r="H19">
            <v>60.442500000000003</v>
          </cell>
          <cell r="I19">
            <v>60.4</v>
          </cell>
          <cell r="J19">
            <v>60.4</v>
          </cell>
          <cell r="K19">
            <v>67.674722222222201</v>
          </cell>
          <cell r="L19">
            <v>68.014937910197958</v>
          </cell>
          <cell r="M19">
            <v>67.510089276573055</v>
          </cell>
          <cell r="N19">
            <v>46.237960557278967</v>
          </cell>
          <cell r="O19">
            <v>47.531574289860103</v>
          </cell>
          <cell r="P19">
            <v>46.214292171755893</v>
          </cell>
          <cell r="Q19">
            <v>48.610620419118682</v>
          </cell>
          <cell r="R19">
            <v>48.577251796072105</v>
          </cell>
          <cell r="S19">
            <v>58.797776860727197</v>
          </cell>
          <cell r="T19">
            <v>680.41172550380611</v>
          </cell>
        </row>
        <row r="20">
          <cell r="F20" t="str">
            <v>Impuesto 5% Pasajes Internacionales</v>
          </cell>
          <cell r="H20">
            <v>0</v>
          </cell>
          <cell r="I20">
            <v>0</v>
          </cell>
          <cell r="J20">
            <v>0</v>
          </cell>
          <cell r="K20">
            <v>0</v>
          </cell>
          <cell r="L20">
            <v>0</v>
          </cell>
          <cell r="M20">
            <v>0</v>
          </cell>
          <cell r="N20">
            <v>0</v>
          </cell>
          <cell r="O20">
            <v>0</v>
          </cell>
          <cell r="P20">
            <v>0</v>
          </cell>
          <cell r="Q20">
            <v>0</v>
          </cell>
          <cell r="R20">
            <v>0</v>
          </cell>
          <cell r="S20">
            <v>0</v>
          </cell>
          <cell r="T20">
            <v>0</v>
          </cell>
        </row>
        <row r="21">
          <cell r="F21" t="str">
            <v>Timbre Nacional</v>
          </cell>
          <cell r="H21">
            <v>18.100000000000001</v>
          </cell>
          <cell r="I21">
            <v>23.2</v>
          </cell>
          <cell r="J21">
            <v>7.9965125726461519</v>
          </cell>
          <cell r="K21">
            <v>10.191633671019607</v>
          </cell>
          <cell r="L21">
            <v>10.740413945612969</v>
          </cell>
          <cell r="M21">
            <v>9.0509251948038436</v>
          </cell>
          <cell r="N21">
            <v>15.751827989763688</v>
          </cell>
          <cell r="O21">
            <v>12.641556794133745</v>
          </cell>
          <cell r="P21">
            <v>16.253430163886243</v>
          </cell>
          <cell r="Q21">
            <v>17.959083937945771</v>
          </cell>
          <cell r="R21">
            <v>14.390363177150888</v>
          </cell>
          <cell r="S21">
            <v>14.848812742315825</v>
          </cell>
          <cell r="T21">
            <v>171.12456018927872</v>
          </cell>
        </row>
        <row r="22">
          <cell r="F22" t="str">
            <v>Timbre Nacional Salidas al Exterior</v>
          </cell>
          <cell r="H22">
            <v>1</v>
          </cell>
          <cell r="I22">
            <v>0.97</v>
          </cell>
          <cell r="J22">
            <v>0.97</v>
          </cell>
          <cell r="K22">
            <v>0.97</v>
          </cell>
          <cell r="L22">
            <v>1.2610000000000001</v>
          </cell>
          <cell r="M22">
            <v>0.97</v>
          </cell>
          <cell r="N22">
            <v>0.97</v>
          </cell>
          <cell r="O22">
            <v>0.97</v>
          </cell>
          <cell r="P22">
            <v>0.8</v>
          </cell>
          <cell r="Q22">
            <v>0.28199999999999997</v>
          </cell>
          <cell r="R22">
            <v>0.188</v>
          </cell>
          <cell r="S22">
            <v>0.188</v>
          </cell>
          <cell r="T22">
            <v>9.5390000000000015</v>
          </cell>
        </row>
        <row r="23">
          <cell r="F23" t="str">
            <v>Timbre de Consulados</v>
          </cell>
          <cell r="H23">
            <v>0</v>
          </cell>
          <cell r="I23">
            <v>0.7</v>
          </cell>
          <cell r="J23">
            <v>0.2</v>
          </cell>
          <cell r="K23">
            <v>0.5</v>
          </cell>
          <cell r="L23">
            <v>0.7</v>
          </cell>
          <cell r="M23">
            <v>0</v>
          </cell>
          <cell r="N23">
            <v>3.5</v>
          </cell>
          <cell r="O23">
            <v>0</v>
          </cell>
          <cell r="P23">
            <v>0</v>
          </cell>
          <cell r="Q23">
            <v>0</v>
          </cell>
          <cell r="R23">
            <v>0</v>
          </cell>
          <cell r="S23">
            <v>1.5</v>
          </cell>
          <cell r="T23">
            <v>7.1</v>
          </cell>
        </row>
        <row r="24">
          <cell r="F24" t="str">
            <v>Impuesto al Oro y Platino</v>
          </cell>
          <cell r="H24">
            <v>0</v>
          </cell>
          <cell r="I24">
            <v>0</v>
          </cell>
          <cell r="J24">
            <v>0</v>
          </cell>
          <cell r="K24">
            <v>0.2</v>
          </cell>
          <cell r="L24">
            <v>0.3</v>
          </cell>
          <cell r="M24">
            <v>9.9999999999999978E-2</v>
          </cell>
          <cell r="N24">
            <v>0.1</v>
          </cell>
          <cell r="O24">
            <v>0.1</v>
          </cell>
          <cell r="P24">
            <v>0.1</v>
          </cell>
          <cell r="Q24">
            <v>0.2</v>
          </cell>
          <cell r="R24">
            <v>0.2</v>
          </cell>
          <cell r="S24">
            <v>0.2</v>
          </cell>
          <cell r="T24">
            <v>1.4999999999999998</v>
          </cell>
        </row>
        <row r="25">
          <cell r="F25" t="str">
            <v>Impuesto al Endeudamiento Externo</v>
          </cell>
          <cell r="H25">
            <v>0</v>
          </cell>
          <cell r="I25">
            <v>0</v>
          </cell>
          <cell r="J25">
            <v>0</v>
          </cell>
          <cell r="K25">
            <v>0</v>
          </cell>
          <cell r="L25">
            <v>0</v>
          </cell>
          <cell r="M25">
            <v>0</v>
          </cell>
          <cell r="N25">
            <v>0</v>
          </cell>
          <cell r="O25">
            <v>0</v>
          </cell>
          <cell r="P25">
            <v>0</v>
          </cell>
          <cell r="Q25">
            <v>0</v>
          </cell>
          <cell r="R25">
            <v>0</v>
          </cell>
          <cell r="S25">
            <v>0</v>
          </cell>
          <cell r="T25">
            <v>0</v>
          </cell>
        </row>
        <row r="27">
          <cell r="E27" t="str">
            <v>1.2.</v>
          </cell>
          <cell r="F27" t="str">
            <v>NO TRIBUTARIOS</v>
          </cell>
          <cell r="H27">
            <v>29.198869108833222</v>
          </cell>
          <cell r="I27">
            <v>28.8</v>
          </cell>
          <cell r="J27">
            <v>31.3</v>
          </cell>
          <cell r="K27">
            <v>27.130943987791408</v>
          </cell>
          <cell r="L27">
            <v>30.444743670989389</v>
          </cell>
          <cell r="M27">
            <v>28.094535223654923</v>
          </cell>
          <cell r="N27">
            <v>32.964475041877975</v>
          </cell>
          <cell r="O27">
            <v>33.966696804830221</v>
          </cell>
          <cell r="P27">
            <v>36.868704966588957</v>
          </cell>
          <cell r="Q27">
            <v>44.683765537500214</v>
          </cell>
          <cell r="R27">
            <v>45.714326935617784</v>
          </cell>
          <cell r="S27">
            <v>52.338862085343102</v>
          </cell>
          <cell r="T27">
            <v>421.50592336302719</v>
          </cell>
        </row>
        <row r="28">
          <cell r="F28" t="str">
            <v>Cuota de Valorización Obras Nacionales</v>
          </cell>
          <cell r="H28">
            <v>0</v>
          </cell>
          <cell r="I28">
            <v>0</v>
          </cell>
          <cell r="J28">
            <v>0</v>
          </cell>
          <cell r="K28">
            <v>0</v>
          </cell>
          <cell r="L28">
            <v>0</v>
          </cell>
          <cell r="M28">
            <v>0</v>
          </cell>
          <cell r="N28">
            <v>0</v>
          </cell>
          <cell r="O28">
            <v>0</v>
          </cell>
          <cell r="P28">
            <v>0</v>
          </cell>
          <cell r="Q28">
            <v>0</v>
          </cell>
          <cell r="R28">
            <v>0</v>
          </cell>
          <cell r="S28">
            <v>0</v>
          </cell>
          <cell r="T28">
            <v>0</v>
          </cell>
        </row>
        <row r="29">
          <cell r="F29" t="str">
            <v>Tasas, Multas y contribuciones NEP</v>
          </cell>
          <cell r="H29">
            <v>2.971571263926239</v>
          </cell>
          <cell r="I29">
            <v>3.1</v>
          </cell>
          <cell r="J29">
            <v>2.6</v>
          </cell>
          <cell r="K29">
            <v>0.83203995389934704</v>
          </cell>
          <cell r="L29">
            <v>0.83235920128808694</v>
          </cell>
          <cell r="M29">
            <v>0.62458576923480202</v>
          </cell>
          <cell r="N29">
            <v>0.76403102564640202</v>
          </cell>
          <cell r="O29">
            <v>0.27889051282320099</v>
          </cell>
          <cell r="P29">
            <v>0.97611679488120406</v>
          </cell>
          <cell r="Q29">
            <v>4.7294671795248178</v>
          </cell>
          <cell r="R29">
            <v>2.372842346168766</v>
          </cell>
          <cell r="S29">
            <v>3.2095138846383717</v>
          </cell>
          <cell r="T29">
            <v>23.291417932031241</v>
          </cell>
        </row>
        <row r="30">
          <cell r="F30" t="str">
            <v>Contribución Hidrocarburos</v>
          </cell>
          <cell r="H30">
            <v>22</v>
          </cell>
          <cell r="I30">
            <v>22</v>
          </cell>
          <cell r="J30">
            <v>22</v>
          </cell>
          <cell r="K30">
            <v>23</v>
          </cell>
          <cell r="L30">
            <v>26.92924657871426</v>
          </cell>
          <cell r="M30">
            <v>26.163933174329078</v>
          </cell>
          <cell r="N30">
            <v>28.791741525193945</v>
          </cell>
          <cell r="O30">
            <v>31.365999571845165</v>
          </cell>
          <cell r="P30">
            <v>35.89258817170775</v>
          </cell>
          <cell r="Q30">
            <v>37.614982077884349</v>
          </cell>
          <cell r="R30">
            <v>39.681940737265919</v>
          </cell>
          <cell r="S30">
            <v>42.410028342390405</v>
          </cell>
          <cell r="T30">
            <v>357.85046017933087</v>
          </cell>
        </row>
        <row r="31">
          <cell r="F31" t="str">
            <v>5% Contratos Obras Públicas Ley104/93</v>
          </cell>
          <cell r="H31">
            <v>4.2272978449069809</v>
          </cell>
          <cell r="I31">
            <v>3.7</v>
          </cell>
          <cell r="J31">
            <v>1.7</v>
          </cell>
          <cell r="K31">
            <v>2.2989040338920601</v>
          </cell>
          <cell r="L31">
            <v>2.6831378909870427</v>
          </cell>
          <cell r="M31">
            <v>1.3060162800910444</v>
          </cell>
          <cell r="N31">
            <v>3.4087024910376238</v>
          </cell>
          <cell r="O31">
            <v>2.3218067201618524</v>
          </cell>
          <cell r="P31">
            <v>0</v>
          </cell>
          <cell r="Q31">
            <v>2.3393162800910448</v>
          </cell>
          <cell r="R31">
            <v>3.6595438521831016</v>
          </cell>
          <cell r="S31">
            <v>6.7193198583143285</v>
          </cell>
          <cell r="T31">
            <v>34.364045251665075</v>
          </cell>
        </row>
        <row r="32">
          <cell r="F32" t="str">
            <v>Telefonía Celular</v>
          </cell>
          <cell r="H32">
            <v>0</v>
          </cell>
          <cell r="I32">
            <v>0</v>
          </cell>
          <cell r="J32">
            <v>0</v>
          </cell>
          <cell r="K32">
            <v>0</v>
          </cell>
          <cell r="L32">
            <v>0</v>
          </cell>
          <cell r="M32">
            <v>0</v>
          </cell>
          <cell r="N32">
            <v>0</v>
          </cell>
          <cell r="O32">
            <v>0</v>
          </cell>
          <cell r="P32">
            <v>0</v>
          </cell>
          <cell r="Q32">
            <v>0</v>
          </cell>
          <cell r="R32">
            <v>0</v>
          </cell>
          <cell r="S32">
            <v>0</v>
          </cell>
          <cell r="T32">
            <v>0</v>
          </cell>
        </row>
        <row r="33">
          <cell r="F33" t="str">
            <v>Concesiones</v>
          </cell>
          <cell r="H33">
            <v>0</v>
          </cell>
          <cell r="I33">
            <v>0</v>
          </cell>
          <cell r="J33">
            <v>5</v>
          </cell>
          <cell r="K33">
            <v>1</v>
          </cell>
          <cell r="L33">
            <v>0</v>
          </cell>
          <cell r="M33">
            <v>0</v>
          </cell>
          <cell r="N33">
            <v>0</v>
          </cell>
          <cell r="O33">
            <v>0</v>
          </cell>
          <cell r="P33">
            <v>0</v>
          </cell>
          <cell r="Q33">
            <v>0</v>
          </cell>
          <cell r="R33">
            <v>0</v>
          </cell>
          <cell r="S33">
            <v>0</v>
          </cell>
          <cell r="T33">
            <v>6</v>
          </cell>
        </row>
        <row r="34">
          <cell r="F34" t="str">
            <v>-</v>
          </cell>
          <cell r="G34" t="str">
            <v>Larga Distancia Nacional</v>
          </cell>
          <cell r="H34">
            <v>0</v>
          </cell>
          <cell r="I34">
            <v>0</v>
          </cell>
          <cell r="J34">
            <v>0</v>
          </cell>
          <cell r="K34">
            <v>0</v>
          </cell>
          <cell r="L34">
            <v>0</v>
          </cell>
          <cell r="M34">
            <v>0</v>
          </cell>
          <cell r="N34">
            <v>0</v>
          </cell>
          <cell r="O34">
            <v>0</v>
          </cell>
          <cell r="P34">
            <v>0</v>
          </cell>
          <cell r="Q34">
            <v>0</v>
          </cell>
          <cell r="R34">
            <v>0</v>
          </cell>
          <cell r="S34">
            <v>0</v>
          </cell>
          <cell r="T34">
            <v>0</v>
          </cell>
        </row>
        <row r="35">
          <cell r="F35" t="str">
            <v>-</v>
          </cell>
          <cell r="G35" t="str">
            <v>Larga Distancia Internacional</v>
          </cell>
          <cell r="H35">
            <v>0</v>
          </cell>
          <cell r="I35">
            <v>0</v>
          </cell>
          <cell r="J35">
            <v>0</v>
          </cell>
          <cell r="K35">
            <v>0</v>
          </cell>
          <cell r="L35">
            <v>0</v>
          </cell>
          <cell r="M35">
            <v>0</v>
          </cell>
          <cell r="N35">
            <v>0</v>
          </cell>
          <cell r="O35">
            <v>0</v>
          </cell>
          <cell r="P35">
            <v>0</v>
          </cell>
          <cell r="Q35">
            <v>0</v>
          </cell>
          <cell r="R35">
            <v>0</v>
          </cell>
          <cell r="S35">
            <v>0</v>
          </cell>
          <cell r="T35">
            <v>0</v>
          </cell>
        </row>
        <row r="36">
          <cell r="F36" t="str">
            <v>-</v>
          </cell>
          <cell r="G36" t="str">
            <v>Sociedades Portuarias</v>
          </cell>
          <cell r="H36">
            <v>0</v>
          </cell>
          <cell r="I36">
            <v>0</v>
          </cell>
          <cell r="J36">
            <v>5</v>
          </cell>
          <cell r="K36">
            <v>1</v>
          </cell>
          <cell r="L36">
            <v>0</v>
          </cell>
          <cell r="M36">
            <v>0</v>
          </cell>
          <cell r="N36">
            <v>0</v>
          </cell>
          <cell r="O36">
            <v>0</v>
          </cell>
          <cell r="P36">
            <v>0</v>
          </cell>
          <cell r="Q36">
            <v>0</v>
          </cell>
          <cell r="R36">
            <v>0</v>
          </cell>
          <cell r="S36">
            <v>0</v>
          </cell>
          <cell r="T36">
            <v>6</v>
          </cell>
        </row>
        <row r="37">
          <cell r="F37" t="str">
            <v>-</v>
          </cell>
          <cell r="G37" t="str">
            <v>Otras</v>
          </cell>
          <cell r="H37">
            <v>0</v>
          </cell>
          <cell r="I37">
            <v>0</v>
          </cell>
          <cell r="J37">
            <v>0</v>
          </cell>
          <cell r="K37">
            <v>0</v>
          </cell>
          <cell r="L37">
            <v>0</v>
          </cell>
          <cell r="M37">
            <v>0</v>
          </cell>
          <cell r="N37">
            <v>0</v>
          </cell>
          <cell r="O37">
            <v>0</v>
          </cell>
          <cell r="P37">
            <v>0</v>
          </cell>
          <cell r="Q37">
            <v>0</v>
          </cell>
          <cell r="R37">
            <v>0</v>
          </cell>
          <cell r="S37">
            <v>0</v>
          </cell>
          <cell r="T37">
            <v>0</v>
          </cell>
        </row>
        <row r="38">
          <cell r="F38" t="str">
            <v>Contraprestación Icel-Corelca</v>
          </cell>
          <cell r="H38">
            <v>0</v>
          </cell>
          <cell r="I38">
            <v>0</v>
          </cell>
          <cell r="J38">
            <v>0</v>
          </cell>
          <cell r="K38">
            <v>0</v>
          </cell>
          <cell r="L38">
            <v>0</v>
          </cell>
          <cell r="M38">
            <v>0</v>
          </cell>
          <cell r="N38">
            <v>0</v>
          </cell>
          <cell r="O38">
            <v>0</v>
          </cell>
          <cell r="P38">
            <v>0</v>
          </cell>
          <cell r="Q38">
            <v>0</v>
          </cell>
          <cell r="R38">
            <v>0</v>
          </cell>
          <cell r="S38">
            <v>0</v>
          </cell>
          <cell r="T38">
            <v>0</v>
          </cell>
        </row>
        <row r="39">
          <cell r="F39" t="str">
            <v>Otros No Tributarios</v>
          </cell>
          <cell r="H39">
            <v>0</v>
          </cell>
          <cell r="I39">
            <v>0</v>
          </cell>
          <cell r="J39">
            <v>0</v>
          </cell>
          <cell r="K39">
            <v>0</v>
          </cell>
          <cell r="L39">
            <v>0</v>
          </cell>
          <cell r="M39">
            <v>0</v>
          </cell>
          <cell r="N39">
            <v>0</v>
          </cell>
          <cell r="O39">
            <v>0</v>
          </cell>
          <cell r="P39">
            <v>0</v>
          </cell>
          <cell r="Q39">
            <v>0</v>
          </cell>
          <cell r="R39">
            <v>0</v>
          </cell>
          <cell r="S39">
            <v>0</v>
          </cell>
          <cell r="T39">
            <v>0</v>
          </cell>
        </row>
        <row r="41">
          <cell r="D41" t="str">
            <v>2.</v>
          </cell>
          <cell r="E41" t="str">
            <v>RECURSOS DE CAPITAL</v>
          </cell>
          <cell r="H41">
            <v>411.99226213767429</v>
          </cell>
          <cell r="I41">
            <v>1209.4085167199025</v>
          </cell>
          <cell r="J41">
            <v>612.63593395478995</v>
          </cell>
          <cell r="K41">
            <v>996.17730737216425</v>
          </cell>
          <cell r="L41">
            <v>712.91603366398579</v>
          </cell>
          <cell r="M41">
            <v>475.56815691244606</v>
          </cell>
          <cell r="N41">
            <v>1048.3826656734291</v>
          </cell>
          <cell r="O41">
            <v>714.5674845747003</v>
          </cell>
          <cell r="P41">
            <v>1320.4815308572013</v>
          </cell>
          <cell r="Q41">
            <v>207.76809372562374</v>
          </cell>
          <cell r="R41">
            <v>222.94976650111329</v>
          </cell>
          <cell r="S41">
            <v>447.69624485758766</v>
          </cell>
          <cell r="T41">
            <v>8380.5439969506187</v>
          </cell>
        </row>
        <row r="42">
          <cell r="E42" t="str">
            <v>2.1</v>
          </cell>
          <cell r="F42" t="str">
            <v>CREDITO EXTERNO</v>
          </cell>
          <cell r="H42">
            <v>31.615580854135906</v>
          </cell>
          <cell r="I42">
            <v>804.21490643300001</v>
          </cell>
          <cell r="J42">
            <v>62.173021754999994</v>
          </cell>
          <cell r="K42">
            <v>448.70730131700003</v>
          </cell>
          <cell r="L42">
            <v>21.168789650642193</v>
          </cell>
          <cell r="M42">
            <v>17.307276384997571</v>
          </cell>
          <cell r="N42">
            <v>43.08056111621061</v>
          </cell>
          <cell r="O42">
            <v>25.187102494115827</v>
          </cell>
          <cell r="P42">
            <v>413.48173885674629</v>
          </cell>
          <cell r="Q42">
            <v>21.436725135664975</v>
          </cell>
          <cell r="R42">
            <v>38.809750203640519</v>
          </cell>
          <cell r="S42">
            <v>61.866621600922549</v>
          </cell>
          <cell r="T42">
            <v>1989.0493758020766</v>
          </cell>
        </row>
        <row r="43">
          <cell r="F43" t="str">
            <v>Banca Multilateral</v>
          </cell>
          <cell r="H43">
            <v>31.615580854135906</v>
          </cell>
          <cell r="I43">
            <v>32.613038932999999</v>
          </cell>
          <cell r="J43">
            <v>62.173021754999994</v>
          </cell>
          <cell r="K43">
            <v>27.088977317000001</v>
          </cell>
          <cell r="L43">
            <v>21.168789650642193</v>
          </cell>
          <cell r="M43">
            <v>17.307276384997571</v>
          </cell>
          <cell r="N43">
            <v>43.08056111621061</v>
          </cell>
          <cell r="O43">
            <v>25.187102494115827</v>
          </cell>
          <cell r="P43">
            <v>55.992423656746311</v>
          </cell>
          <cell r="Q43">
            <v>21.436725135664975</v>
          </cell>
          <cell r="R43">
            <v>38.809750203640519</v>
          </cell>
          <cell r="S43">
            <v>61.866621600922549</v>
          </cell>
          <cell r="T43">
            <v>438.33986910207648</v>
          </cell>
        </row>
        <row r="44">
          <cell r="F44" t="str">
            <v>Banca Comercial</v>
          </cell>
          <cell r="H44">
            <v>0</v>
          </cell>
          <cell r="I44">
            <v>0</v>
          </cell>
          <cell r="J44">
            <v>0</v>
          </cell>
          <cell r="K44">
            <v>0</v>
          </cell>
          <cell r="L44">
            <v>0</v>
          </cell>
          <cell r="M44">
            <v>0</v>
          </cell>
          <cell r="N44">
            <v>0</v>
          </cell>
          <cell r="O44">
            <v>0</v>
          </cell>
          <cell r="P44">
            <v>0</v>
          </cell>
          <cell r="Q44">
            <v>0</v>
          </cell>
          <cell r="R44">
            <v>0</v>
          </cell>
          <cell r="S44">
            <v>0</v>
          </cell>
          <cell r="T44">
            <v>0</v>
          </cell>
        </row>
        <row r="45">
          <cell r="F45" t="str">
            <v>Bonos Resol. 4308/94</v>
          </cell>
          <cell r="H45">
            <v>0</v>
          </cell>
          <cell r="I45">
            <v>0</v>
          </cell>
          <cell r="J45">
            <v>0</v>
          </cell>
          <cell r="K45">
            <v>0</v>
          </cell>
          <cell r="L45">
            <v>0</v>
          </cell>
          <cell r="M45">
            <v>0</v>
          </cell>
          <cell r="N45">
            <v>0</v>
          </cell>
          <cell r="O45">
            <v>0</v>
          </cell>
          <cell r="P45">
            <v>0</v>
          </cell>
          <cell r="Q45">
            <v>0</v>
          </cell>
          <cell r="R45">
            <v>0</v>
          </cell>
          <cell r="S45">
            <v>0</v>
          </cell>
          <cell r="T45">
            <v>0</v>
          </cell>
        </row>
        <row r="46">
          <cell r="F46" t="str">
            <v>Bonos Externos</v>
          </cell>
          <cell r="H46">
            <v>0</v>
          </cell>
          <cell r="I46">
            <v>771.60186750000003</v>
          </cell>
          <cell r="J46">
            <v>0</v>
          </cell>
          <cell r="K46">
            <v>421.61832400000003</v>
          </cell>
          <cell r="L46">
            <v>0</v>
          </cell>
          <cell r="M46">
            <v>0</v>
          </cell>
          <cell r="N46">
            <v>0</v>
          </cell>
          <cell r="O46">
            <v>0</v>
          </cell>
          <cell r="P46">
            <v>357.48931519999996</v>
          </cell>
          <cell r="Q46">
            <v>0</v>
          </cell>
          <cell r="R46">
            <v>0</v>
          </cell>
          <cell r="S46">
            <v>0</v>
          </cell>
          <cell r="T46">
            <v>1550.7095067</v>
          </cell>
        </row>
        <row r="48">
          <cell r="E48" t="str">
            <v>2.2</v>
          </cell>
          <cell r="F48" t="str">
            <v>CREDITO INTERNO</v>
          </cell>
          <cell r="H48">
            <v>366.71800000000002</v>
          </cell>
          <cell r="I48">
            <v>230.15110914380179</v>
          </cell>
          <cell r="J48">
            <v>377.76291219978998</v>
          </cell>
          <cell r="K48">
            <v>517.47121621495808</v>
          </cell>
          <cell r="L48">
            <v>670.7728257158501</v>
          </cell>
          <cell r="M48">
            <v>287.71872338100593</v>
          </cell>
          <cell r="N48">
            <v>820.70593967956142</v>
          </cell>
          <cell r="O48">
            <v>529.4886352406653</v>
          </cell>
          <cell r="P48">
            <v>717.46654953300788</v>
          </cell>
          <cell r="Q48">
            <v>157.02632428525027</v>
          </cell>
          <cell r="R48">
            <v>137.3196338237216</v>
          </cell>
          <cell r="S48">
            <v>202.79999999999998</v>
          </cell>
          <cell r="T48">
            <v>5015.4018692176123</v>
          </cell>
          <cell r="U48">
            <v>0</v>
          </cell>
        </row>
        <row r="49">
          <cell r="F49" t="str">
            <v>TES Convenidos</v>
          </cell>
          <cell r="H49">
            <v>116.718</v>
          </cell>
          <cell r="I49">
            <v>76.635999999999996</v>
          </cell>
          <cell r="J49">
            <v>129.99199999999999</v>
          </cell>
          <cell r="K49">
            <v>266.02800000000002</v>
          </cell>
          <cell r="L49">
            <v>151.977</v>
          </cell>
          <cell r="M49">
            <v>62.365000000000002</v>
          </cell>
          <cell r="N49">
            <v>162.059</v>
          </cell>
          <cell r="O49">
            <v>155.102</v>
          </cell>
          <cell r="P49">
            <v>370.83500000000004</v>
          </cell>
          <cell r="Q49">
            <v>32.6</v>
          </cell>
          <cell r="R49">
            <v>32.6</v>
          </cell>
          <cell r="S49">
            <v>202.79999999999998</v>
          </cell>
          <cell r="T49">
            <v>1759.7119999999998</v>
          </cell>
        </row>
        <row r="50">
          <cell r="F50" t="str">
            <v>-</v>
          </cell>
          <cell r="G50" t="str">
            <v>ISS</v>
          </cell>
          <cell r="H50">
            <v>66.718000000000004</v>
          </cell>
          <cell r="I50">
            <v>76.635999999999996</v>
          </cell>
          <cell r="J50">
            <v>107.092</v>
          </cell>
          <cell r="K50">
            <v>265.02800000000002</v>
          </cell>
          <cell r="L50">
            <v>97.777000000000001</v>
          </cell>
          <cell r="M50">
            <v>40.265000000000001</v>
          </cell>
          <cell r="N50">
            <v>92.058999999999997</v>
          </cell>
          <cell r="O50">
            <v>85.102000000000004</v>
          </cell>
          <cell r="P50">
            <v>296.23500000000001</v>
          </cell>
          <cell r="Q50">
            <v>0</v>
          </cell>
          <cell r="R50">
            <v>0</v>
          </cell>
          <cell r="S50">
            <v>0</v>
          </cell>
          <cell r="T50">
            <v>1126.9119999999998</v>
          </cell>
        </row>
        <row r="51">
          <cell r="F51" t="str">
            <v>-</v>
          </cell>
          <cell r="G51" t="str">
            <v>Telecom</v>
          </cell>
          <cell r="H51">
            <v>0</v>
          </cell>
          <cell r="I51">
            <v>0</v>
          </cell>
          <cell r="J51">
            <v>0</v>
          </cell>
          <cell r="K51">
            <v>0</v>
          </cell>
          <cell r="L51">
            <v>0</v>
          </cell>
          <cell r="M51">
            <v>0</v>
          </cell>
          <cell r="N51">
            <v>0</v>
          </cell>
          <cell r="O51">
            <v>0</v>
          </cell>
          <cell r="P51">
            <v>0</v>
          </cell>
          <cell r="Q51">
            <v>0</v>
          </cell>
          <cell r="R51">
            <v>0</v>
          </cell>
          <cell r="S51">
            <v>0</v>
          </cell>
          <cell r="T51">
            <v>0</v>
          </cell>
        </row>
        <row r="52">
          <cell r="F52" t="str">
            <v>-</v>
          </cell>
          <cell r="G52" t="str">
            <v>Ecopetrol</v>
          </cell>
          <cell r="H52">
            <v>50</v>
          </cell>
          <cell r="I52">
            <v>0</v>
          </cell>
          <cell r="J52">
            <v>0</v>
          </cell>
          <cell r="K52">
            <v>0</v>
          </cell>
          <cell r="L52">
            <v>0</v>
          </cell>
          <cell r="M52">
            <v>0</v>
          </cell>
          <cell r="N52">
            <v>0</v>
          </cell>
          <cell r="O52">
            <v>0</v>
          </cell>
          <cell r="P52">
            <v>0</v>
          </cell>
          <cell r="Q52">
            <v>0</v>
          </cell>
          <cell r="R52">
            <v>0</v>
          </cell>
          <cell r="S52">
            <v>0</v>
          </cell>
          <cell r="T52">
            <v>50</v>
          </cell>
        </row>
        <row r="53">
          <cell r="F53" t="str">
            <v>-</v>
          </cell>
          <cell r="G53" t="str">
            <v>Otros</v>
          </cell>
          <cell r="H53">
            <v>0</v>
          </cell>
          <cell r="I53">
            <v>0</v>
          </cell>
          <cell r="J53">
            <v>22.9</v>
          </cell>
          <cell r="K53">
            <v>1</v>
          </cell>
          <cell r="L53">
            <v>54.2</v>
          </cell>
          <cell r="M53">
            <v>22.1</v>
          </cell>
          <cell r="N53">
            <v>70</v>
          </cell>
          <cell r="O53">
            <v>70</v>
          </cell>
          <cell r="P53">
            <v>74.599999999999994</v>
          </cell>
          <cell r="Q53">
            <v>32.6</v>
          </cell>
          <cell r="R53">
            <v>32.6</v>
          </cell>
          <cell r="S53">
            <v>202.79999999999998</v>
          </cell>
          <cell r="T53">
            <v>582.79999999999995</v>
          </cell>
        </row>
        <row r="54">
          <cell r="F54" t="str">
            <v>TES Subastas</v>
          </cell>
          <cell r="H54">
            <v>100</v>
          </cell>
          <cell r="I54">
            <v>91.8</v>
          </cell>
          <cell r="J54">
            <v>91.8</v>
          </cell>
          <cell r="K54">
            <v>91.8</v>
          </cell>
          <cell r="L54">
            <v>160.82836400000002</v>
          </cell>
          <cell r="M54">
            <v>145.68512794082542</v>
          </cell>
          <cell r="N54">
            <v>177.58576494394242</v>
          </cell>
          <cell r="O54">
            <v>120.00641697117565</v>
          </cell>
          <cell r="P54">
            <v>115.87254878652655</v>
          </cell>
          <cell r="Q54">
            <v>124.42632428525027</v>
          </cell>
          <cell r="R54">
            <v>4.719633823721594</v>
          </cell>
          <cell r="S54">
            <v>0</v>
          </cell>
          <cell r="T54">
            <v>1224.5241807514419</v>
          </cell>
        </row>
        <row r="55">
          <cell r="F55" t="str">
            <v>TES Inversión Forzosa</v>
          </cell>
          <cell r="H55">
            <v>150</v>
          </cell>
          <cell r="I55">
            <v>61.715109143801804</v>
          </cell>
          <cell r="J55">
            <v>155.97091219979001</v>
          </cell>
          <cell r="K55">
            <v>159.64321621495799</v>
          </cell>
          <cell r="L55">
            <v>195.95822258717899</v>
          </cell>
          <cell r="M55">
            <v>79.668595440180496</v>
          </cell>
          <cell r="N55">
            <v>360.06117473561909</v>
          </cell>
          <cell r="O55">
            <v>204.3802182694896</v>
          </cell>
          <cell r="P55">
            <v>130.75900074648132</v>
          </cell>
          <cell r="Q55">
            <v>0</v>
          </cell>
          <cell r="R55">
            <v>0</v>
          </cell>
          <cell r="S55">
            <v>0</v>
          </cell>
          <cell r="T55">
            <v>1498.1564493374995</v>
          </cell>
        </row>
        <row r="56">
          <cell r="F56" t="str">
            <v>Bonos de Seguridad</v>
          </cell>
          <cell r="H56">
            <v>0</v>
          </cell>
          <cell r="I56">
            <v>0</v>
          </cell>
          <cell r="J56">
            <v>0</v>
          </cell>
          <cell r="K56">
            <v>0</v>
          </cell>
          <cell r="L56">
            <v>62.009239128671091</v>
          </cell>
          <cell r="M56">
            <v>0</v>
          </cell>
          <cell r="N56">
            <v>121</v>
          </cell>
          <cell r="O56">
            <v>50</v>
          </cell>
          <cell r="P56">
            <v>0</v>
          </cell>
          <cell r="Q56">
            <v>0</v>
          </cell>
          <cell r="R56">
            <v>0</v>
          </cell>
          <cell r="S56">
            <v>0</v>
          </cell>
          <cell r="T56">
            <v>233.00923912867108</v>
          </cell>
        </row>
        <row r="57">
          <cell r="F57" t="str">
            <v>TES de corto plazo</v>
          </cell>
          <cell r="H57">
            <v>0</v>
          </cell>
          <cell r="I57">
            <v>0</v>
          </cell>
          <cell r="J57">
            <v>0</v>
          </cell>
          <cell r="K57">
            <v>0</v>
          </cell>
          <cell r="L57">
            <v>100</v>
          </cell>
          <cell r="M57">
            <v>0</v>
          </cell>
          <cell r="N57">
            <v>0</v>
          </cell>
          <cell r="O57">
            <v>0</v>
          </cell>
          <cell r="P57">
            <v>100</v>
          </cell>
          <cell r="Q57">
            <v>0</v>
          </cell>
          <cell r="R57">
            <v>100</v>
          </cell>
          <cell r="S57">
            <v>0</v>
          </cell>
          <cell r="T57">
            <v>300</v>
          </cell>
        </row>
        <row r="59">
          <cell r="E59" t="str">
            <v>2.3.</v>
          </cell>
          <cell r="F59" t="str">
            <v>OTROS RECURSOS DE CAPITAL</v>
          </cell>
          <cell r="H59">
            <v>13.658681283538403</v>
          </cell>
          <cell r="I59">
            <v>175.04250114310079</v>
          </cell>
          <cell r="J59">
            <v>172.7</v>
          </cell>
          <cell r="K59">
            <v>29.998789840206186</v>
          </cell>
          <cell r="L59">
            <v>20.974418297493415</v>
          </cell>
          <cell r="M59">
            <v>170.54215714644255</v>
          </cell>
          <cell r="N59">
            <v>184.59616487765717</v>
          </cell>
          <cell r="O59">
            <v>159.89174683991916</v>
          </cell>
          <cell r="P59">
            <v>189.53324246744697</v>
          </cell>
          <cell r="Q59">
            <v>29.305044304708506</v>
          </cell>
          <cell r="R59">
            <v>46.820382473751181</v>
          </cell>
          <cell r="S59">
            <v>183.02962325666513</v>
          </cell>
          <cell r="T59">
            <v>1376.0927519309294</v>
          </cell>
        </row>
        <row r="60">
          <cell r="F60" t="str">
            <v>Recuperación de Cartera SPNF</v>
          </cell>
          <cell r="H60">
            <v>1.5389999999999999</v>
          </cell>
          <cell r="I60">
            <v>2.1778</v>
          </cell>
          <cell r="J60">
            <v>20.100000000000001</v>
          </cell>
          <cell r="K60">
            <v>0.223</v>
          </cell>
          <cell r="L60">
            <v>3.2370000000000001</v>
          </cell>
          <cell r="M60">
            <v>25.085000000000001</v>
          </cell>
          <cell r="N60">
            <v>1.096689375721686</v>
          </cell>
          <cell r="O60">
            <v>1.4323977912433654</v>
          </cell>
          <cell r="P60">
            <v>12.204177175122091</v>
          </cell>
          <cell r="Q60">
            <v>1.6509677743996103</v>
          </cell>
          <cell r="R60">
            <v>1.397563418328972</v>
          </cell>
          <cell r="S60">
            <v>21.756404465184275</v>
          </cell>
          <cell r="T60">
            <v>91.899999999999991</v>
          </cell>
        </row>
        <row r="61">
          <cell r="F61" t="str">
            <v>Recuperación de Cartera SPF</v>
          </cell>
          <cell r="H61">
            <v>0</v>
          </cell>
          <cell r="I61">
            <v>0</v>
          </cell>
          <cell r="J61">
            <v>0</v>
          </cell>
          <cell r="K61">
            <v>0</v>
          </cell>
          <cell r="L61">
            <v>0</v>
          </cell>
          <cell r="M61">
            <v>0</v>
          </cell>
          <cell r="N61">
            <v>0</v>
          </cell>
          <cell r="O61">
            <v>0</v>
          </cell>
          <cell r="P61">
            <v>0</v>
          </cell>
          <cell r="Q61">
            <v>0</v>
          </cell>
          <cell r="R61">
            <v>0</v>
          </cell>
          <cell r="S61">
            <v>8.1000000000000014</v>
          </cell>
          <cell r="T61">
            <v>8.1000000000000014</v>
          </cell>
        </row>
        <row r="62">
          <cell r="F62" t="str">
            <v>Rendimientos Financieros Portafolio</v>
          </cell>
          <cell r="H62">
            <v>0</v>
          </cell>
          <cell r="I62">
            <v>2</v>
          </cell>
          <cell r="J62">
            <v>3</v>
          </cell>
          <cell r="K62">
            <v>7</v>
          </cell>
          <cell r="L62">
            <v>5.7633723330006204</v>
          </cell>
          <cell r="M62">
            <v>4.519024780865009</v>
          </cell>
          <cell r="N62">
            <v>12.366200009698105</v>
          </cell>
          <cell r="O62">
            <v>11.567340970263652</v>
          </cell>
          <cell r="P62">
            <v>9.033778604086141</v>
          </cell>
          <cell r="Q62">
            <v>8.9142718220435455</v>
          </cell>
          <cell r="R62">
            <v>9.088742890797322</v>
          </cell>
          <cell r="S62">
            <v>10.206095067016435</v>
          </cell>
          <cell r="T62">
            <v>83.458826477770828</v>
          </cell>
        </row>
        <row r="63">
          <cell r="F63" t="str">
            <v>Rendimientos Financieros Entidades</v>
          </cell>
          <cell r="H63">
            <v>2</v>
          </cell>
          <cell r="I63">
            <v>2.0664580924855489</v>
          </cell>
          <cell r="J63">
            <v>2</v>
          </cell>
          <cell r="K63">
            <v>15</v>
          </cell>
          <cell r="L63">
            <v>3.03890895953757</v>
          </cell>
          <cell r="M63">
            <v>4.5676748950433073</v>
          </cell>
          <cell r="N63">
            <v>10.852332334209898</v>
          </cell>
          <cell r="O63">
            <v>1.2297586255885826</v>
          </cell>
          <cell r="P63">
            <v>1.3175985274163389</v>
          </cell>
          <cell r="Q63">
            <v>7.7043802819906304</v>
          </cell>
          <cell r="R63">
            <v>1.3175985274163389</v>
          </cell>
          <cell r="S63">
            <v>15.010656808334909</v>
          </cell>
          <cell r="T63">
            <v>66.105367052023112</v>
          </cell>
        </row>
        <row r="64">
          <cell r="F64" t="str">
            <v>Donaciones</v>
          </cell>
          <cell r="H64">
            <v>0</v>
          </cell>
          <cell r="I64">
            <v>0</v>
          </cell>
          <cell r="J64">
            <v>0</v>
          </cell>
          <cell r="K64">
            <v>0</v>
          </cell>
          <cell r="L64">
            <v>0</v>
          </cell>
          <cell r="M64">
            <v>0</v>
          </cell>
          <cell r="N64">
            <v>0</v>
          </cell>
          <cell r="O64">
            <v>0</v>
          </cell>
          <cell r="P64">
            <v>0</v>
          </cell>
          <cell r="Q64">
            <v>0</v>
          </cell>
          <cell r="R64">
            <v>9.25</v>
          </cell>
          <cell r="S64">
            <v>9.25</v>
          </cell>
          <cell r="T64">
            <v>18.5</v>
          </cell>
        </row>
        <row r="65">
          <cell r="F65" t="str">
            <v>Apalancamiento de Betania</v>
          </cell>
          <cell r="H65">
            <v>0</v>
          </cell>
          <cell r="I65">
            <v>0</v>
          </cell>
          <cell r="J65">
            <v>0</v>
          </cell>
          <cell r="K65">
            <v>0</v>
          </cell>
          <cell r="L65">
            <v>0</v>
          </cell>
          <cell r="M65">
            <v>0</v>
          </cell>
          <cell r="N65">
            <v>0</v>
          </cell>
          <cell r="O65">
            <v>0</v>
          </cell>
          <cell r="P65">
            <v>0</v>
          </cell>
          <cell r="Q65">
            <v>0</v>
          </cell>
          <cell r="R65">
            <v>0</v>
          </cell>
          <cell r="S65">
            <v>0</v>
          </cell>
          <cell r="T65">
            <v>0</v>
          </cell>
        </row>
        <row r="66">
          <cell r="F66" t="str">
            <v>Enajenación de Activos</v>
          </cell>
          <cell r="H66">
            <v>0</v>
          </cell>
          <cell r="I66">
            <v>158.43919920000002</v>
          </cell>
          <cell r="J66">
            <v>0</v>
          </cell>
          <cell r="K66">
            <v>0</v>
          </cell>
          <cell r="L66">
            <v>0</v>
          </cell>
          <cell r="M66">
            <v>0</v>
          </cell>
          <cell r="N66">
            <v>0</v>
          </cell>
          <cell r="O66">
            <v>0</v>
          </cell>
          <cell r="P66">
            <v>0</v>
          </cell>
          <cell r="Q66">
            <v>0</v>
          </cell>
          <cell r="R66">
            <v>0</v>
          </cell>
          <cell r="S66">
            <v>0</v>
          </cell>
          <cell r="T66">
            <v>158.43919920000002</v>
          </cell>
        </row>
        <row r="67">
          <cell r="F67" t="str">
            <v>-</v>
          </cell>
          <cell r="G67" t="str">
            <v>Banco Popular</v>
          </cell>
          <cell r="H67">
            <v>0</v>
          </cell>
          <cell r="I67">
            <v>0</v>
          </cell>
          <cell r="J67">
            <v>0</v>
          </cell>
          <cell r="K67">
            <v>0</v>
          </cell>
          <cell r="L67">
            <v>0</v>
          </cell>
          <cell r="M67">
            <v>0</v>
          </cell>
          <cell r="N67">
            <v>0</v>
          </cell>
          <cell r="O67">
            <v>0</v>
          </cell>
          <cell r="P67">
            <v>0</v>
          </cell>
          <cell r="Q67">
            <v>0</v>
          </cell>
          <cell r="R67">
            <v>0</v>
          </cell>
          <cell r="S67">
            <v>0</v>
          </cell>
          <cell r="T67">
            <v>0</v>
          </cell>
        </row>
        <row r="68">
          <cell r="F68" t="str">
            <v>-</v>
          </cell>
          <cell r="G68" t="str">
            <v>Betania</v>
          </cell>
          <cell r="H68">
            <v>0</v>
          </cell>
          <cell r="I68">
            <v>0</v>
          </cell>
          <cell r="J68">
            <v>0</v>
          </cell>
          <cell r="K68">
            <v>0</v>
          </cell>
          <cell r="L68">
            <v>0</v>
          </cell>
          <cell r="M68">
            <v>0</v>
          </cell>
          <cell r="N68">
            <v>0</v>
          </cell>
          <cell r="O68">
            <v>0</v>
          </cell>
          <cell r="P68">
            <v>0</v>
          </cell>
          <cell r="Q68">
            <v>0</v>
          </cell>
          <cell r="R68">
            <v>0</v>
          </cell>
          <cell r="S68">
            <v>0</v>
          </cell>
          <cell r="T68">
            <v>0</v>
          </cell>
        </row>
        <row r="69">
          <cell r="F69" t="str">
            <v>-</v>
          </cell>
          <cell r="G69" t="str">
            <v>Termotasajero</v>
          </cell>
          <cell r="H69">
            <v>0</v>
          </cell>
          <cell r="I69">
            <v>0</v>
          </cell>
          <cell r="J69">
            <v>0</v>
          </cell>
          <cell r="K69">
            <v>0</v>
          </cell>
          <cell r="L69">
            <v>0</v>
          </cell>
          <cell r="M69">
            <v>0</v>
          </cell>
          <cell r="N69">
            <v>0</v>
          </cell>
          <cell r="O69">
            <v>0</v>
          </cell>
          <cell r="P69">
            <v>0</v>
          </cell>
          <cell r="Q69">
            <v>0</v>
          </cell>
          <cell r="R69">
            <v>0</v>
          </cell>
          <cell r="S69">
            <v>0</v>
          </cell>
          <cell r="T69">
            <v>0</v>
          </cell>
        </row>
        <row r="70">
          <cell r="F70" t="str">
            <v>-</v>
          </cell>
          <cell r="G70" t="str">
            <v>Termocartagena</v>
          </cell>
          <cell r="H70">
            <v>0</v>
          </cell>
          <cell r="I70">
            <v>0</v>
          </cell>
          <cell r="J70">
            <v>0</v>
          </cell>
          <cell r="K70">
            <v>0</v>
          </cell>
          <cell r="L70">
            <v>0</v>
          </cell>
          <cell r="M70">
            <v>0</v>
          </cell>
          <cell r="N70">
            <v>0</v>
          </cell>
          <cell r="O70">
            <v>0</v>
          </cell>
          <cell r="P70">
            <v>0</v>
          </cell>
          <cell r="Q70">
            <v>0</v>
          </cell>
          <cell r="R70">
            <v>0</v>
          </cell>
          <cell r="S70">
            <v>0</v>
          </cell>
          <cell r="T70">
            <v>0</v>
          </cell>
        </row>
        <row r="71">
          <cell r="F71" t="str">
            <v>-</v>
          </cell>
          <cell r="G71" t="str">
            <v>Chivor</v>
          </cell>
          <cell r="H71">
            <v>0</v>
          </cell>
          <cell r="I71">
            <v>0</v>
          </cell>
          <cell r="J71">
            <v>0</v>
          </cell>
          <cell r="K71">
            <v>0</v>
          </cell>
          <cell r="L71">
            <v>0</v>
          </cell>
          <cell r="M71">
            <v>0</v>
          </cell>
          <cell r="N71">
            <v>0</v>
          </cell>
          <cell r="O71">
            <v>0</v>
          </cell>
          <cell r="P71">
            <v>0</v>
          </cell>
          <cell r="Q71">
            <v>0</v>
          </cell>
          <cell r="R71">
            <v>0</v>
          </cell>
          <cell r="S71">
            <v>0</v>
          </cell>
          <cell r="T71">
            <v>0</v>
          </cell>
        </row>
        <row r="72">
          <cell r="F72" t="str">
            <v>-</v>
          </cell>
          <cell r="G72" t="str">
            <v>Cerromatoso</v>
          </cell>
          <cell r="H72">
            <v>0</v>
          </cell>
          <cell r="I72">
            <v>158.43919920000002</v>
          </cell>
          <cell r="J72">
            <v>0</v>
          </cell>
          <cell r="K72">
            <v>0</v>
          </cell>
          <cell r="L72">
            <v>0</v>
          </cell>
          <cell r="M72">
            <v>0</v>
          </cell>
          <cell r="N72">
            <v>0</v>
          </cell>
          <cell r="O72">
            <v>0</v>
          </cell>
          <cell r="P72">
            <v>0</v>
          </cell>
          <cell r="Q72">
            <v>0</v>
          </cell>
          <cell r="R72">
            <v>0</v>
          </cell>
          <cell r="S72">
            <v>0</v>
          </cell>
          <cell r="T72">
            <v>158.43919920000002</v>
          </cell>
        </row>
        <row r="73">
          <cell r="F73" t="str">
            <v>-</v>
          </cell>
          <cell r="G73" t="str">
            <v>Carbocol</v>
          </cell>
          <cell r="H73">
            <v>0</v>
          </cell>
          <cell r="I73">
            <v>0</v>
          </cell>
          <cell r="J73">
            <v>0</v>
          </cell>
          <cell r="K73">
            <v>0</v>
          </cell>
          <cell r="L73">
            <v>0</v>
          </cell>
          <cell r="M73">
            <v>0</v>
          </cell>
          <cell r="N73">
            <v>0</v>
          </cell>
          <cell r="O73">
            <v>0</v>
          </cell>
          <cell r="P73">
            <v>0</v>
          </cell>
          <cell r="Q73">
            <v>0</v>
          </cell>
          <cell r="R73">
            <v>0</v>
          </cell>
          <cell r="S73">
            <v>0</v>
          </cell>
          <cell r="T73">
            <v>0</v>
          </cell>
        </row>
        <row r="74">
          <cell r="F74" t="str">
            <v>-</v>
          </cell>
          <cell r="G74" t="str">
            <v>Epsa</v>
          </cell>
          <cell r="H74">
            <v>0</v>
          </cell>
          <cell r="I74">
            <v>0</v>
          </cell>
          <cell r="J74">
            <v>0</v>
          </cell>
          <cell r="K74">
            <v>0</v>
          </cell>
          <cell r="L74">
            <v>0</v>
          </cell>
          <cell r="M74">
            <v>0</v>
          </cell>
          <cell r="N74">
            <v>0</v>
          </cell>
          <cell r="O74">
            <v>0</v>
          </cell>
          <cell r="P74">
            <v>0</v>
          </cell>
          <cell r="Q74">
            <v>0</v>
          </cell>
          <cell r="R74">
            <v>0</v>
          </cell>
          <cell r="S74">
            <v>0</v>
          </cell>
          <cell r="T74">
            <v>0</v>
          </cell>
        </row>
        <row r="75">
          <cell r="F75" t="str">
            <v>Reintegros</v>
          </cell>
          <cell r="H75">
            <v>10</v>
          </cell>
          <cell r="I75">
            <v>10</v>
          </cell>
          <cell r="J75">
            <v>6.1</v>
          </cell>
          <cell r="K75">
            <v>3.3475823492852701</v>
          </cell>
          <cell r="L75">
            <v>2.7996517268046435</v>
          </cell>
          <cell r="M75">
            <v>14.958101911085247</v>
          </cell>
          <cell r="N75">
            <v>4.0419431580274763</v>
          </cell>
          <cell r="O75">
            <v>22.383449452823548</v>
          </cell>
          <cell r="P75">
            <v>18.579267657032968</v>
          </cell>
          <cell r="Q75">
            <v>3.9626893706151733</v>
          </cell>
          <cell r="R75">
            <v>4.7552272447382089</v>
          </cell>
          <cell r="S75">
            <v>28.219051415193622</v>
          </cell>
          <cell r="T75">
            <v>129.14696428560617</v>
          </cell>
        </row>
        <row r="76">
          <cell r="F76" t="str">
            <v>-</v>
          </cell>
          <cell r="G76" t="str">
            <v>Exigibles</v>
          </cell>
          <cell r="H76">
            <v>0</v>
          </cell>
          <cell r="I76">
            <v>0</v>
          </cell>
          <cell r="J76">
            <v>0</v>
          </cell>
          <cell r="K76">
            <v>0</v>
          </cell>
          <cell r="L76">
            <v>0</v>
          </cell>
          <cell r="M76">
            <v>0</v>
          </cell>
          <cell r="N76">
            <v>0</v>
          </cell>
          <cell r="O76">
            <v>0</v>
          </cell>
          <cell r="P76">
            <v>0</v>
          </cell>
          <cell r="Q76">
            <v>0</v>
          </cell>
          <cell r="R76">
            <v>0</v>
          </cell>
          <cell r="S76">
            <v>0</v>
          </cell>
          <cell r="T76">
            <v>0</v>
          </cell>
        </row>
        <row r="77">
          <cell r="F77" t="str">
            <v>-</v>
          </cell>
          <cell r="G77" t="str">
            <v>No Exigibles</v>
          </cell>
          <cell r="H77">
            <v>10</v>
          </cell>
          <cell r="I77">
            <v>10</v>
          </cell>
          <cell r="J77">
            <v>6.1</v>
          </cell>
          <cell r="K77">
            <v>3.3475823492852701</v>
          </cell>
          <cell r="L77">
            <v>2.7996517268046435</v>
          </cell>
          <cell r="M77">
            <v>14.958101911085247</v>
          </cell>
          <cell r="N77">
            <v>4.0419431580274763</v>
          </cell>
          <cell r="O77">
            <v>22.383449452823548</v>
          </cell>
          <cell r="P77">
            <v>18.579267657032968</v>
          </cell>
          <cell r="Q77">
            <v>3.9626893706151733</v>
          </cell>
          <cell r="R77">
            <v>4.7552272447382089</v>
          </cell>
          <cell r="S77">
            <v>28.219051415193622</v>
          </cell>
          <cell r="T77">
            <v>129.14696428560617</v>
          </cell>
        </row>
        <row r="78">
          <cell r="F78" t="str">
            <v>Recursos No Apropiados</v>
          </cell>
          <cell r="H78">
            <v>0.11968128353840318</v>
          </cell>
          <cell r="I78">
            <v>0.35904385061520949</v>
          </cell>
          <cell r="J78">
            <v>3.3</v>
          </cell>
          <cell r="K78">
            <v>4.4282074909209204</v>
          </cell>
          <cell r="L78">
            <v>6.1354852781505809</v>
          </cell>
          <cell r="M78">
            <v>4.8211555594489761</v>
          </cell>
          <cell r="N78">
            <v>0</v>
          </cell>
          <cell r="O78">
            <v>0</v>
          </cell>
          <cell r="P78">
            <v>4.2484205037894229</v>
          </cell>
          <cell r="Q78">
            <v>0.57273505565954475</v>
          </cell>
          <cell r="R78">
            <v>3.1029503924703397</v>
          </cell>
          <cell r="S78">
            <v>5.1546155009359014</v>
          </cell>
          <cell r="T78">
            <v>32.2422949155293</v>
          </cell>
        </row>
        <row r="79">
          <cell r="F79" t="str">
            <v>Excedentes Financieros</v>
          </cell>
          <cell r="H79">
            <v>0</v>
          </cell>
          <cell r="I79">
            <v>0</v>
          </cell>
          <cell r="J79">
            <v>138.19999999999999</v>
          </cell>
          <cell r="K79">
            <v>0</v>
          </cell>
          <cell r="L79">
            <v>0</v>
          </cell>
          <cell r="M79">
            <v>116.5912</v>
          </cell>
          <cell r="N79">
            <v>156.239</v>
          </cell>
          <cell r="O79">
            <v>123.2788</v>
          </cell>
          <cell r="P79">
            <v>144.15</v>
          </cell>
          <cell r="Q79">
            <v>6.5</v>
          </cell>
          <cell r="R79">
            <v>17.908300000000001</v>
          </cell>
          <cell r="S79">
            <v>56.332799999999999</v>
          </cell>
          <cell r="T79">
            <v>759.20010000000002</v>
          </cell>
        </row>
        <row r="80">
          <cell r="F80" t="str">
            <v>-</v>
          </cell>
          <cell r="G80" t="str">
            <v>Ecopetrol</v>
          </cell>
          <cell r="H80">
            <v>0</v>
          </cell>
          <cell r="I80">
            <v>0</v>
          </cell>
          <cell r="J80">
            <v>0</v>
          </cell>
          <cell r="K80">
            <v>0</v>
          </cell>
          <cell r="L80">
            <v>0</v>
          </cell>
          <cell r="M80">
            <v>0</v>
          </cell>
          <cell r="N80">
            <v>103.5</v>
          </cell>
          <cell r="O80">
            <v>0</v>
          </cell>
          <cell r="P80">
            <v>103.5</v>
          </cell>
          <cell r="Q80">
            <v>0</v>
          </cell>
          <cell r="R80">
            <v>0</v>
          </cell>
          <cell r="S80">
            <v>0</v>
          </cell>
          <cell r="T80">
            <v>207</v>
          </cell>
        </row>
        <row r="81">
          <cell r="F81" t="str">
            <v>-</v>
          </cell>
          <cell r="G81" t="str">
            <v>Banco de la República</v>
          </cell>
          <cell r="H81">
            <v>0</v>
          </cell>
          <cell r="I81">
            <v>0</v>
          </cell>
          <cell r="J81">
            <v>138.19999999999999</v>
          </cell>
          <cell r="K81">
            <v>0</v>
          </cell>
          <cell r="L81">
            <v>0</v>
          </cell>
          <cell r="M81">
            <v>0</v>
          </cell>
          <cell r="N81">
            <v>0</v>
          </cell>
          <cell r="O81">
            <v>0</v>
          </cell>
          <cell r="P81">
            <v>0</v>
          </cell>
          <cell r="Q81">
            <v>0</v>
          </cell>
          <cell r="R81">
            <v>0</v>
          </cell>
          <cell r="S81">
            <v>0</v>
          </cell>
          <cell r="T81">
            <v>138.19999999999999</v>
          </cell>
        </row>
        <row r="82">
          <cell r="F82" t="str">
            <v>-</v>
          </cell>
          <cell r="G82" t="str">
            <v>Resto</v>
          </cell>
          <cell r="H82">
            <v>0</v>
          </cell>
          <cell r="I82">
            <v>0</v>
          </cell>
          <cell r="J82">
            <v>0</v>
          </cell>
          <cell r="K82">
            <v>0</v>
          </cell>
          <cell r="L82">
            <v>0</v>
          </cell>
          <cell r="M82">
            <v>116.5912</v>
          </cell>
          <cell r="N82">
            <v>52.738999999999997</v>
          </cell>
          <cell r="O82">
            <v>123.2788</v>
          </cell>
          <cell r="P82">
            <v>40.650000000000006</v>
          </cell>
          <cell r="Q82">
            <v>6.5</v>
          </cell>
          <cell r="R82">
            <v>17.908300000000001</v>
          </cell>
          <cell r="S82">
            <v>56.332799999999999</v>
          </cell>
          <cell r="T82">
            <v>414.00010000000003</v>
          </cell>
        </row>
        <row r="83">
          <cell r="F83" t="str">
            <v>Otros</v>
          </cell>
          <cell r="H83">
            <v>0</v>
          </cell>
          <cell r="I83">
            <v>0</v>
          </cell>
          <cell r="J83">
            <v>0</v>
          </cell>
          <cell r="K83">
            <v>0</v>
          </cell>
          <cell r="L83">
            <v>0</v>
          </cell>
          <cell r="M83">
            <v>0</v>
          </cell>
          <cell r="N83">
            <v>0</v>
          </cell>
          <cell r="O83">
            <v>0</v>
          </cell>
          <cell r="P83">
            <v>0</v>
          </cell>
          <cell r="Q83">
            <v>0</v>
          </cell>
          <cell r="R83">
            <v>0</v>
          </cell>
          <cell r="S83">
            <v>29</v>
          </cell>
          <cell r="T83">
            <v>29</v>
          </cell>
        </row>
        <row r="84">
          <cell r="T84">
            <v>436.05522537753154</v>
          </cell>
        </row>
        <row r="85">
          <cell r="D85" t="str">
            <v>3.</v>
          </cell>
          <cell r="E85" t="str">
            <v>FONDOS ESPECIALES</v>
          </cell>
          <cell r="H85">
            <v>21.992685496589797</v>
          </cell>
          <cell r="I85">
            <v>20.542088572355723</v>
          </cell>
          <cell r="J85">
            <v>21.429380914338982</v>
          </cell>
          <cell r="K85">
            <v>21.971906138491516</v>
          </cell>
          <cell r="L85">
            <v>23.918774412177434</v>
          </cell>
          <cell r="M85">
            <v>35.375794960875339</v>
          </cell>
          <cell r="N85">
            <v>23.274859026641934</v>
          </cell>
          <cell r="O85">
            <v>18.548787561453171</v>
          </cell>
          <cell r="P85">
            <v>23.49701213548899</v>
          </cell>
          <cell r="Q85">
            <v>22.702260278133863</v>
          </cell>
          <cell r="R85">
            <v>36.716403708939026</v>
          </cell>
          <cell r="S85">
            <v>45.956902418778562</v>
          </cell>
          <cell r="T85">
            <v>315.92685562426436</v>
          </cell>
        </row>
        <row r="86">
          <cell r="E86" t="str">
            <v>Contribuciones Superintendencias</v>
          </cell>
          <cell r="H86">
            <v>5.2389612080578161</v>
          </cell>
          <cell r="I86">
            <v>3.444755239022391</v>
          </cell>
          <cell r="J86">
            <v>2.5527331725103282</v>
          </cell>
          <cell r="K86">
            <v>2.454262661427554</v>
          </cell>
          <cell r="L86">
            <v>1.5</v>
          </cell>
          <cell r="M86">
            <v>12.590924219910802</v>
          </cell>
          <cell r="N86">
            <v>2.7474472511144099</v>
          </cell>
          <cell r="O86">
            <v>0</v>
          </cell>
          <cell r="P86">
            <v>0.79475185735512599</v>
          </cell>
          <cell r="Q86">
            <v>0</v>
          </cell>
          <cell r="R86">
            <v>15.237286551205267</v>
          </cell>
          <cell r="S86">
            <v>21.82668976738006</v>
          </cell>
          <cell r="T86">
            <v>68.387811927983748</v>
          </cell>
        </row>
        <row r="87">
          <cell r="E87" t="str">
            <v>-</v>
          </cell>
          <cell r="F87" t="str">
            <v>Sociedades</v>
          </cell>
          <cell r="H87">
            <v>0.27555396711937097</v>
          </cell>
          <cell r="I87">
            <v>0.4</v>
          </cell>
          <cell r="J87">
            <v>0.55110793423874205</v>
          </cell>
          <cell r="K87">
            <v>0.41057541100786299</v>
          </cell>
          <cell r="L87">
            <v>0.5</v>
          </cell>
          <cell r="M87">
            <v>0</v>
          </cell>
          <cell r="N87">
            <v>0</v>
          </cell>
          <cell r="O87">
            <v>0</v>
          </cell>
          <cell r="P87">
            <v>0</v>
          </cell>
          <cell r="Q87">
            <v>0</v>
          </cell>
          <cell r="R87">
            <v>6.0621872766261617</v>
          </cell>
          <cell r="S87">
            <v>7.7621872766261601</v>
          </cell>
          <cell r="T87">
            <v>15.961611865618298</v>
          </cell>
        </row>
        <row r="88">
          <cell r="E88" t="str">
            <v>-</v>
          </cell>
          <cell r="F88" t="str">
            <v>Contraloría</v>
          </cell>
          <cell r="H88">
            <v>2.7203020637898687</v>
          </cell>
          <cell r="I88">
            <v>1.8</v>
          </cell>
          <cell r="J88">
            <v>0.155534709193246</v>
          </cell>
          <cell r="K88">
            <v>0.155534709193246</v>
          </cell>
          <cell r="L88">
            <v>1</v>
          </cell>
          <cell r="M88">
            <v>0.9</v>
          </cell>
          <cell r="N88">
            <v>0</v>
          </cell>
          <cell r="O88">
            <v>0</v>
          </cell>
          <cell r="P88">
            <v>0</v>
          </cell>
          <cell r="Q88">
            <v>0</v>
          </cell>
          <cell r="R88">
            <v>0</v>
          </cell>
          <cell r="S88">
            <v>0.4</v>
          </cell>
          <cell r="T88">
            <v>7.1313714821763607</v>
          </cell>
        </row>
        <row r="89">
          <cell r="E89" t="str">
            <v>-</v>
          </cell>
          <cell r="F89" t="str">
            <v>Subsidio Familiar</v>
          </cell>
          <cell r="H89">
            <v>0</v>
          </cell>
          <cell r="I89">
            <v>0</v>
          </cell>
          <cell r="J89">
            <v>0</v>
          </cell>
          <cell r="K89">
            <v>0</v>
          </cell>
          <cell r="L89">
            <v>0</v>
          </cell>
          <cell r="M89">
            <v>0</v>
          </cell>
          <cell r="N89">
            <v>0</v>
          </cell>
          <cell r="O89">
            <v>0</v>
          </cell>
          <cell r="P89">
            <v>0</v>
          </cell>
          <cell r="Q89">
            <v>0</v>
          </cell>
          <cell r="R89">
            <v>1.6878571428571429</v>
          </cell>
          <cell r="S89">
            <v>2.363</v>
          </cell>
          <cell r="T89">
            <v>4.0508571428571427</v>
          </cell>
        </row>
        <row r="90">
          <cell r="E90" t="str">
            <v>-</v>
          </cell>
          <cell r="F90" t="str">
            <v>Superbancaria</v>
          </cell>
          <cell r="H90">
            <v>0</v>
          </cell>
          <cell r="I90">
            <v>0.34737592867756317</v>
          </cell>
          <cell r="J90">
            <v>0</v>
          </cell>
          <cell r="K90">
            <v>0</v>
          </cell>
          <cell r="L90">
            <v>0</v>
          </cell>
          <cell r="M90">
            <v>11.690924219910801</v>
          </cell>
          <cell r="N90">
            <v>2.7474472511144099</v>
          </cell>
          <cell r="O90">
            <v>0</v>
          </cell>
          <cell r="P90">
            <v>0.79475185735512599</v>
          </cell>
          <cell r="Q90">
            <v>0</v>
          </cell>
          <cell r="R90">
            <v>3.5225007429420496</v>
          </cell>
          <cell r="S90">
            <v>3.0225007429420496</v>
          </cell>
          <cell r="T90">
            <v>22.125500742941998</v>
          </cell>
        </row>
        <row r="91">
          <cell r="E91" t="str">
            <v>-</v>
          </cell>
          <cell r="F91" t="str">
            <v>Industria y Comercio</v>
          </cell>
          <cell r="H91">
            <v>0.39027069438995687</v>
          </cell>
          <cell r="I91">
            <v>0.4</v>
          </cell>
          <cell r="J91">
            <v>0.97567673597489202</v>
          </cell>
          <cell r="K91">
            <v>1.2664284032954101</v>
          </cell>
          <cell r="L91">
            <v>0</v>
          </cell>
          <cell r="M91">
            <v>0</v>
          </cell>
          <cell r="N91">
            <v>0</v>
          </cell>
          <cell r="O91">
            <v>0</v>
          </cell>
          <cell r="P91">
            <v>0</v>
          </cell>
          <cell r="Q91">
            <v>0</v>
          </cell>
          <cell r="R91">
            <v>0.88054138877991395</v>
          </cell>
          <cell r="S91">
            <v>4.9513534719497798</v>
          </cell>
          <cell r="T91">
            <v>8.864270694389953</v>
          </cell>
        </row>
        <row r="92">
          <cell r="E92" t="str">
            <v>-</v>
          </cell>
          <cell r="F92" t="str">
            <v>Nacional de Valores</v>
          </cell>
          <cell r="H92">
            <v>1.4797999999999998</v>
          </cell>
          <cell r="I92">
            <v>0</v>
          </cell>
          <cell r="J92">
            <v>0</v>
          </cell>
          <cell r="K92">
            <v>0</v>
          </cell>
          <cell r="L92">
            <v>0</v>
          </cell>
          <cell r="M92">
            <v>0</v>
          </cell>
          <cell r="N92">
            <v>0</v>
          </cell>
          <cell r="O92">
            <v>0</v>
          </cell>
          <cell r="P92">
            <v>0</v>
          </cell>
          <cell r="Q92">
            <v>0</v>
          </cell>
          <cell r="R92">
            <v>1.3841999999999999</v>
          </cell>
          <cell r="S92">
            <v>1.3841999999999999</v>
          </cell>
          <cell r="T92">
            <v>4.2481999999999998</v>
          </cell>
        </row>
        <row r="93">
          <cell r="E93" t="str">
            <v>-</v>
          </cell>
          <cell r="F93" t="str">
            <v>Salud</v>
          </cell>
          <cell r="H93">
            <v>0</v>
          </cell>
          <cell r="I93">
            <v>0</v>
          </cell>
          <cell r="J93">
            <v>0</v>
          </cell>
          <cell r="K93">
            <v>0</v>
          </cell>
          <cell r="L93">
            <v>0</v>
          </cell>
          <cell r="M93">
            <v>0</v>
          </cell>
          <cell r="N93">
            <v>0</v>
          </cell>
          <cell r="O93">
            <v>0</v>
          </cell>
          <cell r="P93">
            <v>0</v>
          </cell>
          <cell r="Q93">
            <v>0</v>
          </cell>
          <cell r="R93">
            <v>0</v>
          </cell>
          <cell r="S93">
            <v>0</v>
          </cell>
          <cell r="T93">
            <v>0</v>
          </cell>
        </row>
        <row r="94">
          <cell r="E94" t="str">
            <v>-</v>
          </cell>
          <cell r="F94" t="str">
            <v>Puertos</v>
          </cell>
          <cell r="H94">
            <v>0.37303448275862067</v>
          </cell>
          <cell r="I94">
            <v>0.49737931034482757</v>
          </cell>
          <cell r="J94">
            <v>0.87041379310344802</v>
          </cell>
          <cell r="K94">
            <v>0.62172413793103498</v>
          </cell>
          <cell r="L94">
            <v>0</v>
          </cell>
          <cell r="M94">
            <v>0</v>
          </cell>
          <cell r="N94">
            <v>0</v>
          </cell>
          <cell r="O94">
            <v>0</v>
          </cell>
          <cell r="P94">
            <v>0</v>
          </cell>
          <cell r="Q94">
            <v>0</v>
          </cell>
          <cell r="R94">
            <v>1.7</v>
          </cell>
          <cell r="S94">
            <v>1.9434482758620699</v>
          </cell>
          <cell r="T94">
            <v>6.0060000000000011</v>
          </cell>
        </row>
        <row r="95">
          <cell r="E95" t="str">
            <v>-</v>
          </cell>
          <cell r="F95" t="str">
            <v>Servicios Públicos Domiciliarios</v>
          </cell>
          <cell r="H95">
            <v>0</v>
          </cell>
          <cell r="I95">
            <v>0</v>
          </cell>
          <cell r="J95">
            <v>0</v>
          </cell>
          <cell r="K95">
            <v>0</v>
          </cell>
          <cell r="L95">
            <v>0</v>
          </cell>
          <cell r="M95">
            <v>0</v>
          </cell>
          <cell r="N95">
            <v>0</v>
          </cell>
          <cell r="O95">
            <v>0</v>
          </cell>
          <cell r="P95">
            <v>0</v>
          </cell>
          <cell r="Q95">
            <v>0</v>
          </cell>
          <cell r="R95">
            <v>0</v>
          </cell>
          <cell r="S95">
            <v>0</v>
          </cell>
          <cell r="T95">
            <v>0</v>
          </cell>
        </row>
        <row r="96">
          <cell r="E96" t="str">
            <v>Fondo de Defensa Nacional</v>
          </cell>
          <cell r="H96">
            <v>0</v>
          </cell>
          <cell r="I96">
            <v>0</v>
          </cell>
          <cell r="J96">
            <v>2.0767363583403453</v>
          </cell>
          <cell r="K96">
            <v>0</v>
          </cell>
          <cell r="L96">
            <v>2.1445764127127966</v>
          </cell>
          <cell r="M96">
            <v>3.4612272639005761</v>
          </cell>
          <cell r="N96">
            <v>2.0767363583403453</v>
          </cell>
          <cell r="O96">
            <v>0</v>
          </cell>
          <cell r="P96">
            <v>4.1534727166806906</v>
          </cell>
          <cell r="Q96">
            <v>4.1534727166806906</v>
          </cell>
          <cell r="R96">
            <v>3.3227781733445529</v>
          </cell>
          <cell r="S96">
            <v>1.1227781733445497</v>
          </cell>
          <cell r="T96">
            <v>22.511778173344545</v>
          </cell>
        </row>
        <row r="97">
          <cell r="E97" t="str">
            <v>Fondo de Estupefacientes</v>
          </cell>
          <cell r="H97">
            <v>0.1962242885319809</v>
          </cell>
          <cell r="I97">
            <v>0.1</v>
          </cell>
          <cell r="J97">
            <v>0.34241138348830702</v>
          </cell>
          <cell r="K97">
            <v>0.3924485770639618</v>
          </cell>
          <cell r="L97">
            <v>0.29433643279797134</v>
          </cell>
          <cell r="M97">
            <v>0.3924485770639618</v>
          </cell>
          <cell r="N97">
            <v>0.29433643279797134</v>
          </cell>
          <cell r="O97">
            <v>0.3924485770639618</v>
          </cell>
          <cell r="P97">
            <v>0.3924485770639618</v>
          </cell>
          <cell r="Q97">
            <v>0.3924485770639618</v>
          </cell>
          <cell r="R97">
            <v>0</v>
          </cell>
          <cell r="S97">
            <v>0.2</v>
          </cell>
          <cell r="T97">
            <v>3.3895514229360399</v>
          </cell>
        </row>
        <row r="98">
          <cell r="E98" t="str">
            <v>Fondo Rotatorio de Minas y Energía</v>
          </cell>
          <cell r="H98">
            <v>0</v>
          </cell>
          <cell r="I98">
            <v>0.49733333333333329</v>
          </cell>
          <cell r="J98">
            <v>0</v>
          </cell>
          <cell r="K98">
            <v>0</v>
          </cell>
          <cell r="L98">
            <v>0.74866666666666704</v>
          </cell>
          <cell r="M98">
            <v>0</v>
          </cell>
          <cell r="N98">
            <v>0</v>
          </cell>
          <cell r="O98">
            <v>0</v>
          </cell>
          <cell r="P98">
            <v>0</v>
          </cell>
          <cell r="Q98">
            <v>0</v>
          </cell>
          <cell r="R98">
            <v>0</v>
          </cell>
          <cell r="S98">
            <v>0.6</v>
          </cell>
          <cell r="T98">
            <v>1.8460000000000005</v>
          </cell>
        </row>
        <row r="99">
          <cell r="E99" t="str">
            <v>Fondo de Bienestar Social Dian</v>
          </cell>
          <cell r="H99">
            <v>0</v>
          </cell>
          <cell r="I99">
            <v>0</v>
          </cell>
          <cell r="J99">
            <v>0</v>
          </cell>
          <cell r="K99">
            <v>0</v>
          </cell>
          <cell r="L99">
            <v>0</v>
          </cell>
          <cell r="M99">
            <v>0</v>
          </cell>
          <cell r="N99">
            <v>0</v>
          </cell>
          <cell r="O99">
            <v>0</v>
          </cell>
          <cell r="P99">
            <v>0</v>
          </cell>
          <cell r="Q99">
            <v>0</v>
          </cell>
          <cell r="R99">
            <v>0</v>
          </cell>
          <cell r="S99">
            <v>0</v>
          </cell>
          <cell r="T99">
            <v>0</v>
          </cell>
        </row>
        <row r="100">
          <cell r="E100" t="str">
            <v>Financiación Sector Justicia</v>
          </cell>
          <cell r="H100">
            <v>2</v>
          </cell>
          <cell r="I100">
            <v>1.9</v>
          </cell>
          <cell r="J100">
            <v>1.9</v>
          </cell>
          <cell r="K100">
            <v>1.7</v>
          </cell>
          <cell r="L100">
            <v>2.15</v>
          </cell>
          <cell r="M100">
            <v>1.85</v>
          </cell>
          <cell r="N100">
            <v>8.5496599999999994</v>
          </cell>
          <cell r="O100">
            <v>8.5496599999999994</v>
          </cell>
          <cell r="P100">
            <v>8.5496599999999994</v>
          </cell>
          <cell r="Q100">
            <v>8.5496599999999994</v>
          </cell>
          <cell r="R100">
            <v>8.5496599999999994</v>
          </cell>
          <cell r="S100">
            <v>11.44966</v>
          </cell>
          <cell r="T100">
            <v>65.697959999999995</v>
          </cell>
        </row>
        <row r="101">
          <cell r="E101" t="str">
            <v>Contribución para la Descentralización</v>
          </cell>
          <cell r="H101">
            <v>14.557499999999999</v>
          </cell>
          <cell r="I101">
            <v>14.6</v>
          </cell>
          <cell r="J101">
            <v>14.557499999999999</v>
          </cell>
          <cell r="K101">
            <v>17.425194900000001</v>
          </cell>
          <cell r="L101">
            <v>17.0811949</v>
          </cell>
          <cell r="M101">
            <v>17.0811949</v>
          </cell>
          <cell r="N101">
            <v>9.6066789843892106</v>
          </cell>
          <cell r="O101">
            <v>9.6066789843892106</v>
          </cell>
          <cell r="P101">
            <v>9.6066789843892106</v>
          </cell>
          <cell r="Q101">
            <v>9.6066789843892106</v>
          </cell>
          <cell r="R101">
            <v>9.6066789843892106</v>
          </cell>
          <cell r="S101">
            <v>10.757774478053955</v>
          </cell>
          <cell r="T101">
            <v>154.09375410000001</v>
          </cell>
        </row>
        <row r="102">
          <cell r="E102" t="str">
            <v>Comisión Regulación Energía y Gas</v>
          </cell>
          <cell r="H102">
            <v>0</v>
          </cell>
          <cell r="I102">
            <v>0</v>
          </cell>
          <cell r="J102">
            <v>0</v>
          </cell>
          <cell r="K102">
            <v>0</v>
          </cell>
          <cell r="L102">
            <v>0</v>
          </cell>
          <cell r="M102">
            <v>0</v>
          </cell>
          <cell r="N102">
            <v>0</v>
          </cell>
          <cell r="O102">
            <v>0</v>
          </cell>
          <cell r="P102">
            <v>0</v>
          </cell>
          <cell r="Q102">
            <v>0</v>
          </cell>
          <cell r="R102">
            <v>0</v>
          </cell>
          <cell r="S102">
            <v>0</v>
          </cell>
          <cell r="T102">
            <v>0</v>
          </cell>
        </row>
        <row r="103">
          <cell r="E103" t="str">
            <v>Comisión Regulación Agua Potable</v>
          </cell>
          <cell r="H103">
            <v>0</v>
          </cell>
          <cell r="I103">
            <v>0</v>
          </cell>
          <cell r="J103">
            <v>0</v>
          </cell>
          <cell r="K103">
            <v>0</v>
          </cell>
          <cell r="L103">
            <v>0</v>
          </cell>
          <cell r="M103">
            <v>0</v>
          </cell>
          <cell r="N103">
            <v>0</v>
          </cell>
          <cell r="O103">
            <v>0</v>
          </cell>
          <cell r="P103">
            <v>0</v>
          </cell>
          <cell r="Q103">
            <v>0</v>
          </cell>
          <cell r="R103">
            <v>0</v>
          </cell>
          <cell r="S103">
            <v>0</v>
          </cell>
          <cell r="T103">
            <v>0</v>
          </cell>
        </row>
        <row r="104">
          <cell r="E104" t="str">
            <v>Comisión Regulación Telecomunicaciones</v>
          </cell>
          <cell r="H104">
            <v>0</v>
          </cell>
          <cell r="I104">
            <v>0</v>
          </cell>
          <cell r="J104">
            <v>0</v>
          </cell>
          <cell r="K104">
            <v>0</v>
          </cell>
          <cell r="L104">
            <v>0</v>
          </cell>
          <cell r="M104">
            <v>0</v>
          </cell>
          <cell r="N104">
            <v>0</v>
          </cell>
          <cell r="O104">
            <v>0</v>
          </cell>
          <cell r="P104">
            <v>0</v>
          </cell>
          <cell r="Q104">
            <v>0</v>
          </cell>
          <cell r="R104">
            <v>0</v>
          </cell>
          <cell r="S104">
            <v>0</v>
          </cell>
          <cell r="T104">
            <v>0</v>
          </cell>
        </row>
        <row r="105">
          <cell r="E105" t="str">
            <v>Unidad Minero-Energética</v>
          </cell>
          <cell r="H105">
            <v>0</v>
          </cell>
          <cell r="I105">
            <v>0</v>
          </cell>
          <cell r="J105">
            <v>0</v>
          </cell>
          <cell r="K105">
            <v>0</v>
          </cell>
          <cell r="L105">
            <v>0</v>
          </cell>
          <cell r="M105">
            <v>0</v>
          </cell>
          <cell r="N105">
            <v>0</v>
          </cell>
          <cell r="O105">
            <v>0</v>
          </cell>
          <cell r="P105">
            <v>0</v>
          </cell>
          <cell r="Q105">
            <v>0</v>
          </cell>
          <cell r="R105">
            <v>0</v>
          </cell>
          <cell r="S105">
            <v>0</v>
          </cell>
          <cell r="T105">
            <v>0</v>
          </cell>
        </row>
        <row r="106">
          <cell r="E106" t="str">
            <v>Compensación Canales Radioelétricos</v>
          </cell>
          <cell r="H106">
            <v>0</v>
          </cell>
          <cell r="I106">
            <v>0</v>
          </cell>
          <cell r="J106">
            <v>0</v>
          </cell>
          <cell r="K106">
            <v>0</v>
          </cell>
          <cell r="L106">
            <v>0</v>
          </cell>
          <cell r="M106">
            <v>0</v>
          </cell>
          <cell r="N106">
            <v>0</v>
          </cell>
          <cell r="O106">
            <v>0</v>
          </cell>
          <cell r="P106">
            <v>0</v>
          </cell>
          <cell r="Q106">
            <v>0</v>
          </cell>
          <cell r="R106">
            <v>0</v>
          </cell>
          <cell r="S106">
            <v>0</v>
          </cell>
          <cell r="T106">
            <v>0</v>
          </cell>
        </row>
        <row r="107">
          <cell r="E107" t="str">
            <v>Otros</v>
          </cell>
          <cell r="H107">
            <v>0</v>
          </cell>
          <cell r="I107">
            <v>0</v>
          </cell>
          <cell r="J107">
            <v>0</v>
          </cell>
          <cell r="K107">
            <v>0</v>
          </cell>
          <cell r="L107">
            <v>0</v>
          </cell>
          <cell r="M107">
            <v>0</v>
          </cell>
          <cell r="N107">
            <v>0</v>
          </cell>
          <cell r="O107">
            <v>0</v>
          </cell>
          <cell r="P107">
            <v>0</v>
          </cell>
          <cell r="Q107">
            <v>0</v>
          </cell>
          <cell r="R107">
            <v>0</v>
          </cell>
          <cell r="S107">
            <v>0</v>
          </cell>
          <cell r="T107">
            <v>0</v>
          </cell>
        </row>
        <row r="109">
          <cell r="D109" t="str">
            <v>4.</v>
          </cell>
          <cell r="E109" t="str">
            <v>INGRESOS POR DISTRIBUIR</v>
          </cell>
          <cell r="H109">
            <v>5.6520978946527904</v>
          </cell>
          <cell r="I109">
            <v>15.4147884272444</v>
          </cell>
          <cell r="J109">
            <v>11.2844003974697</v>
          </cell>
          <cell r="K109">
            <v>2.6923314382546799</v>
          </cell>
          <cell r="L109">
            <v>9.684751595645599</v>
          </cell>
          <cell r="M109">
            <v>12.567473159424969</v>
          </cell>
          <cell r="N109">
            <v>6.8334139344049625</v>
          </cell>
          <cell r="O109">
            <v>14.800599136654286</v>
          </cell>
          <cell r="P109">
            <v>6.8388235676887454</v>
          </cell>
          <cell r="Q109">
            <v>13.633625146306517</v>
          </cell>
          <cell r="R109">
            <v>4.9314737857612929</v>
          </cell>
          <cell r="S109">
            <v>15.794591269759209</v>
          </cell>
          <cell r="T109">
            <v>120.12836975326715</v>
          </cell>
        </row>
        <row r="111">
          <cell r="C111" t="str">
            <v>confis</v>
          </cell>
          <cell r="H111">
            <v>35845.782996527778</v>
          </cell>
          <cell r="S111" t="str">
            <v>c:\ingres97.xls</v>
          </cell>
        </row>
      </sheetData>
      <sheetData sheetId="2" refreshError="1">
        <row r="2">
          <cell r="D2" t="str">
            <v>INGRESOS PROGRAMADOS DE RECAUDO PARA LA TESORERIA</v>
          </cell>
        </row>
        <row r="3">
          <cell r="D3" t="str">
            <v>DOLARES</v>
          </cell>
        </row>
        <row r="4">
          <cell r="D4" t="str">
            <v>1997</v>
          </cell>
        </row>
        <row r="5">
          <cell r="C5" t="str">
            <v>Millones de dólares</v>
          </cell>
        </row>
        <row r="7">
          <cell r="H7" t="str">
            <v>Progr.</v>
          </cell>
          <cell r="I7" t="str">
            <v>Progr.</v>
          </cell>
          <cell r="J7" t="str">
            <v>Progr.</v>
          </cell>
          <cell r="K7" t="str">
            <v>Progr.</v>
          </cell>
          <cell r="L7" t="str">
            <v>Progr.</v>
          </cell>
          <cell r="M7" t="str">
            <v>Progr.</v>
          </cell>
          <cell r="N7" t="str">
            <v>Progr.</v>
          </cell>
          <cell r="O7" t="str">
            <v>Progr.</v>
          </cell>
          <cell r="P7" t="str">
            <v>Progr.</v>
          </cell>
          <cell r="Q7" t="str">
            <v>Progr.</v>
          </cell>
          <cell r="R7" t="str">
            <v>Progr.</v>
          </cell>
          <cell r="S7" t="str">
            <v>Progr.</v>
          </cell>
          <cell r="T7" t="str">
            <v>Progr.</v>
          </cell>
        </row>
        <row r="8">
          <cell r="D8" t="str">
            <v>CLASIFICACION DE LOS INGRESOS</v>
          </cell>
          <cell r="H8" t="str">
            <v>Ene</v>
          </cell>
          <cell r="I8" t="str">
            <v>Feb</v>
          </cell>
          <cell r="J8" t="str">
            <v>Mar</v>
          </cell>
          <cell r="K8" t="str">
            <v>Abr</v>
          </cell>
          <cell r="L8" t="str">
            <v>May</v>
          </cell>
          <cell r="M8" t="str">
            <v>Jun</v>
          </cell>
          <cell r="N8" t="str">
            <v>Jul</v>
          </cell>
          <cell r="O8" t="str">
            <v>Ago</v>
          </cell>
          <cell r="P8" t="str">
            <v>Sep</v>
          </cell>
          <cell r="Q8" t="str">
            <v>Oct</v>
          </cell>
          <cell r="R8" t="str">
            <v>Nov</v>
          </cell>
          <cell r="S8" t="str">
            <v>Dic</v>
          </cell>
          <cell r="T8" t="str">
            <v>1997</v>
          </cell>
        </row>
        <row r="10">
          <cell r="D10" t="str">
            <v>INGRESOS DEL PRESUPUESTO NACIONAL</v>
          </cell>
          <cell r="H10">
            <v>31.112160277748899</v>
          </cell>
          <cell r="I10">
            <v>861.7</v>
          </cell>
          <cell r="J10">
            <v>59.7</v>
          </cell>
          <cell r="K10">
            <v>425.7</v>
          </cell>
          <cell r="L10">
            <v>19.845725351165154</v>
          </cell>
          <cell r="M10">
            <v>16.035810890634625</v>
          </cell>
          <cell r="N10">
            <v>39.454286477204434</v>
          </cell>
          <cell r="O10">
            <v>22.803406540130013</v>
          </cell>
          <cell r="P10">
            <v>378.87059048571757</v>
          </cell>
          <cell r="Q10">
            <v>18.974318360239725</v>
          </cell>
          <cell r="R10">
            <v>33.972196701843529</v>
          </cell>
          <cell r="S10">
            <v>53.563289244788614</v>
          </cell>
          <cell r="T10">
            <v>1952.9817843294727</v>
          </cell>
        </row>
        <row r="11">
          <cell r="D11" t="str">
            <v>1.</v>
          </cell>
          <cell r="E11" t="str">
            <v>INGRESOS CORRIENTES</v>
          </cell>
          <cell r="H11">
            <v>0</v>
          </cell>
          <cell r="I11">
            <v>0</v>
          </cell>
          <cell r="J11">
            <v>0</v>
          </cell>
          <cell r="K11">
            <v>0</v>
          </cell>
          <cell r="L11">
            <v>0</v>
          </cell>
          <cell r="M11">
            <v>0</v>
          </cell>
          <cell r="N11">
            <v>0</v>
          </cell>
          <cell r="O11">
            <v>0</v>
          </cell>
          <cell r="P11">
            <v>8.75</v>
          </cell>
          <cell r="Q11">
            <v>0</v>
          </cell>
          <cell r="R11">
            <v>0</v>
          </cell>
          <cell r="S11">
            <v>0</v>
          </cell>
          <cell r="T11">
            <v>0</v>
          </cell>
        </row>
        <row r="12">
          <cell r="E12" t="str">
            <v>Timbre consulados</v>
          </cell>
          <cell r="T12">
            <v>0</v>
          </cell>
        </row>
        <row r="13">
          <cell r="E13" t="str">
            <v>Otros Ingresos Corrientes</v>
          </cell>
          <cell r="T13">
            <v>0</v>
          </cell>
        </row>
        <row r="14">
          <cell r="E14" t="str">
            <v>Concesiones</v>
          </cell>
          <cell r="H14">
            <v>0</v>
          </cell>
          <cell r="I14">
            <v>0</v>
          </cell>
          <cell r="J14">
            <v>0</v>
          </cell>
          <cell r="K14">
            <v>0</v>
          </cell>
          <cell r="L14">
            <v>0</v>
          </cell>
          <cell r="M14">
            <v>0</v>
          </cell>
          <cell r="N14">
            <v>0</v>
          </cell>
          <cell r="O14">
            <v>0</v>
          </cell>
          <cell r="P14">
            <v>8.75</v>
          </cell>
          <cell r="Q14">
            <v>0</v>
          </cell>
          <cell r="R14">
            <v>0</v>
          </cell>
          <cell r="S14">
            <v>0</v>
          </cell>
          <cell r="T14">
            <v>0</v>
          </cell>
        </row>
        <row r="15">
          <cell r="E15" t="str">
            <v>-</v>
          </cell>
          <cell r="F15" t="str">
            <v>Larga Distancia Nacional</v>
          </cell>
          <cell r="T15">
            <v>0</v>
          </cell>
        </row>
        <row r="16">
          <cell r="E16" t="str">
            <v>-</v>
          </cell>
          <cell r="F16" t="str">
            <v>Larga Distancia Internacional</v>
          </cell>
          <cell r="P16">
            <v>0</v>
          </cell>
          <cell r="T16">
            <v>0</v>
          </cell>
        </row>
        <row r="17">
          <cell r="E17" t="str">
            <v>-</v>
          </cell>
          <cell r="F17" t="str">
            <v>Telefonía Celular</v>
          </cell>
          <cell r="T17">
            <v>0</v>
          </cell>
        </row>
        <row r="18">
          <cell r="E18" t="str">
            <v>-</v>
          </cell>
          <cell r="F18" t="str">
            <v>Sociedades Portuarias</v>
          </cell>
          <cell r="T18">
            <v>0</v>
          </cell>
        </row>
        <row r="19">
          <cell r="M19">
            <v>0.62865230921037496</v>
          </cell>
          <cell r="N19">
            <v>1.116950996070021</v>
          </cell>
          <cell r="O19">
            <v>0.63163366358730622</v>
          </cell>
          <cell r="P19">
            <v>1.4278380019474304</v>
          </cell>
          <cell r="Q19">
            <v>0.52002857915163325</v>
          </cell>
          <cell r="R19">
            <v>0.95716645637821773</v>
          </cell>
          <cell r="S19">
            <v>0.60772999365501634</v>
          </cell>
        </row>
        <row r="20">
          <cell r="D20" t="str">
            <v>2.</v>
          </cell>
          <cell r="E20" t="str">
            <v>RECURSOS DE CAPITAL</v>
          </cell>
          <cell r="H20">
            <v>31.112160277748899</v>
          </cell>
          <cell r="I20">
            <v>861.7</v>
          </cell>
          <cell r="J20">
            <v>59.7</v>
          </cell>
          <cell r="K20">
            <v>425.7</v>
          </cell>
          <cell r="L20">
            <v>19.845725351165154</v>
          </cell>
          <cell r="M20">
            <v>16.035810890634625</v>
          </cell>
          <cell r="N20">
            <v>39.454286477204434</v>
          </cell>
          <cell r="O20">
            <v>22.803406540130013</v>
          </cell>
          <cell r="P20">
            <v>370.12059048571757</v>
          </cell>
          <cell r="Q20">
            <v>18.974318360239725</v>
          </cell>
          <cell r="R20">
            <v>33.972196701843529</v>
          </cell>
          <cell r="S20">
            <v>53.563289244788614</v>
          </cell>
          <cell r="T20">
            <v>1952.9817843294727</v>
          </cell>
        </row>
        <row r="21">
          <cell r="E21" t="str">
            <v>2.1</v>
          </cell>
          <cell r="F21" t="str">
            <v>CREDITO EXTERNO</v>
          </cell>
          <cell r="H21">
            <v>31.112160277748899</v>
          </cell>
          <cell r="I21">
            <v>781.7</v>
          </cell>
          <cell r="J21">
            <v>59.7</v>
          </cell>
          <cell r="K21">
            <v>425.7</v>
          </cell>
          <cell r="L21">
            <v>19.845725351165154</v>
          </cell>
          <cell r="M21">
            <v>16.035810890634625</v>
          </cell>
          <cell r="N21">
            <v>39.454286477204434</v>
          </cell>
          <cell r="O21">
            <v>22.803406540130013</v>
          </cell>
          <cell r="P21">
            <v>370.12059048571757</v>
          </cell>
          <cell r="Q21">
            <v>18.974318360239725</v>
          </cell>
          <cell r="R21">
            <v>33.972196701843529</v>
          </cell>
          <cell r="S21">
            <v>53.563289244788614</v>
          </cell>
          <cell r="T21">
            <v>1872.9817843294727</v>
          </cell>
        </row>
        <row r="22">
          <cell r="F22" t="str">
            <v>Banca Multilateral</v>
          </cell>
          <cell r="H22">
            <v>31.112160277748899</v>
          </cell>
          <cell r="I22">
            <v>31.7</v>
          </cell>
          <cell r="J22">
            <v>59.7</v>
          </cell>
          <cell r="K22">
            <v>25.7</v>
          </cell>
          <cell r="L22">
            <v>19.845725351165154</v>
          </cell>
          <cell r="M22">
            <v>16.035810890634625</v>
          </cell>
          <cell r="N22">
            <v>39.454286477204434</v>
          </cell>
          <cell r="O22">
            <v>22.803406540130013</v>
          </cell>
          <cell r="P22">
            <v>50.120590485717599</v>
          </cell>
          <cell r="Q22">
            <v>18.974318360239725</v>
          </cell>
          <cell r="R22">
            <v>33.972196701843529</v>
          </cell>
          <cell r="S22">
            <v>53.563289244788614</v>
          </cell>
          <cell r="T22">
            <v>402.98178432947265</v>
          </cell>
        </row>
        <row r="23">
          <cell r="F23" t="str">
            <v>Banca Comercial</v>
          </cell>
          <cell r="T23">
            <v>0</v>
          </cell>
        </row>
        <row r="24">
          <cell r="F24" t="str">
            <v>Bonos Res. 4308/94</v>
          </cell>
          <cell r="T24">
            <v>0</v>
          </cell>
        </row>
        <row r="25">
          <cell r="F25" t="str">
            <v>Bonos Externos</v>
          </cell>
          <cell r="I25">
            <v>750</v>
          </cell>
          <cell r="K25">
            <v>400</v>
          </cell>
          <cell r="L25">
            <v>0</v>
          </cell>
          <cell r="O25">
            <v>0</v>
          </cell>
          <cell r="P25">
            <v>320</v>
          </cell>
          <cell r="R25">
            <v>0</v>
          </cell>
          <cell r="T25">
            <v>1470</v>
          </cell>
        </row>
        <row r="26">
          <cell r="N26">
            <v>-1.4419893516166269</v>
          </cell>
          <cell r="O26">
            <v>-0.83342704551128721</v>
          </cell>
          <cell r="P26">
            <v>-1.8318252395439945</v>
          </cell>
          <cell r="Q26">
            <v>-0.69348016331401185</v>
          </cell>
          <cell r="R26">
            <v>-1.2416279768077285</v>
          </cell>
          <cell r="S26">
            <v>-1.9576502232063511</v>
          </cell>
        </row>
        <row r="27">
          <cell r="E27" t="str">
            <v>2.3.</v>
          </cell>
          <cell r="F27" t="str">
            <v>OTROS RECURSOS DE CAPITAL</v>
          </cell>
          <cell r="H27">
            <v>0</v>
          </cell>
          <cell r="I27">
            <v>80</v>
          </cell>
          <cell r="J27">
            <v>0</v>
          </cell>
          <cell r="K27">
            <v>0</v>
          </cell>
          <cell r="L27">
            <v>0</v>
          </cell>
          <cell r="M27">
            <v>0</v>
          </cell>
          <cell r="N27">
            <v>0</v>
          </cell>
          <cell r="O27">
            <v>0</v>
          </cell>
          <cell r="P27">
            <v>0</v>
          </cell>
          <cell r="Q27">
            <v>0</v>
          </cell>
          <cell r="R27">
            <v>0</v>
          </cell>
          <cell r="S27">
            <v>0</v>
          </cell>
          <cell r="T27">
            <v>80</v>
          </cell>
        </row>
        <row r="28">
          <cell r="F28" t="str">
            <v>Recuperación de Cartera SPNF</v>
          </cell>
          <cell r="T28">
            <v>0</v>
          </cell>
        </row>
        <row r="29">
          <cell r="F29" t="str">
            <v>Recuperación de Cartera SPF</v>
          </cell>
          <cell r="T29">
            <v>0</v>
          </cell>
        </row>
        <row r="30">
          <cell r="F30" t="str">
            <v>Rendimientos Financieros Portafolio</v>
          </cell>
          <cell r="T30">
            <v>0</v>
          </cell>
        </row>
        <row r="31">
          <cell r="F31" t="str">
            <v>Rendimientos Financieros Entidades</v>
          </cell>
          <cell r="T31">
            <v>0</v>
          </cell>
        </row>
        <row r="32">
          <cell r="F32" t="str">
            <v>Donaciones</v>
          </cell>
          <cell r="T32">
            <v>0</v>
          </cell>
        </row>
        <row r="33">
          <cell r="F33" t="str">
            <v>Apalancamiento de Betania</v>
          </cell>
          <cell r="T33">
            <v>0</v>
          </cell>
        </row>
        <row r="34">
          <cell r="F34" t="str">
            <v>Enajenación de Activos</v>
          </cell>
          <cell r="H34">
            <v>0</v>
          </cell>
          <cell r="I34">
            <v>80</v>
          </cell>
          <cell r="J34">
            <v>0</v>
          </cell>
          <cell r="K34">
            <v>0</v>
          </cell>
          <cell r="L34">
            <v>0</v>
          </cell>
          <cell r="M34">
            <v>0</v>
          </cell>
          <cell r="N34">
            <v>0</v>
          </cell>
          <cell r="O34">
            <v>0</v>
          </cell>
          <cell r="P34">
            <v>0</v>
          </cell>
          <cell r="Q34">
            <v>0</v>
          </cell>
          <cell r="R34">
            <v>0</v>
          </cell>
          <cell r="S34">
            <v>0</v>
          </cell>
          <cell r="T34">
            <v>80</v>
          </cell>
        </row>
        <row r="35">
          <cell r="F35" t="str">
            <v>-</v>
          </cell>
          <cell r="G35" t="str">
            <v>Banco Popular</v>
          </cell>
          <cell r="T35">
            <v>0</v>
          </cell>
        </row>
        <row r="36">
          <cell r="F36" t="str">
            <v>-</v>
          </cell>
          <cell r="G36" t="str">
            <v>Betania</v>
          </cell>
          <cell r="T36">
            <v>0</v>
          </cell>
        </row>
        <row r="37">
          <cell r="F37" t="str">
            <v>-</v>
          </cell>
          <cell r="G37" t="str">
            <v>Termotasajero</v>
          </cell>
          <cell r="T37">
            <v>0</v>
          </cell>
        </row>
        <row r="38">
          <cell r="F38" t="str">
            <v>-</v>
          </cell>
          <cell r="G38" t="str">
            <v>Termocartagena</v>
          </cell>
          <cell r="T38">
            <v>0</v>
          </cell>
        </row>
        <row r="39">
          <cell r="F39" t="str">
            <v>-</v>
          </cell>
          <cell r="G39" t="str">
            <v>Chivor</v>
          </cell>
          <cell r="T39">
            <v>0</v>
          </cell>
        </row>
        <row r="40">
          <cell r="F40" t="str">
            <v>-</v>
          </cell>
          <cell r="G40" t="str">
            <v>Cerromatoso</v>
          </cell>
          <cell r="I40">
            <v>80</v>
          </cell>
          <cell r="T40">
            <v>80</v>
          </cell>
        </row>
        <row r="41">
          <cell r="F41" t="str">
            <v>-</v>
          </cell>
          <cell r="G41" t="str">
            <v>Carbocol</v>
          </cell>
          <cell r="T41">
            <v>0</v>
          </cell>
        </row>
        <row r="42">
          <cell r="F42" t="str">
            <v>-</v>
          </cell>
          <cell r="G42" t="str">
            <v>Epsa</v>
          </cell>
          <cell r="T42">
            <v>0</v>
          </cell>
        </row>
        <row r="43">
          <cell r="F43" t="str">
            <v>Reintegros</v>
          </cell>
          <cell r="H43">
            <v>0</v>
          </cell>
          <cell r="I43">
            <v>0</v>
          </cell>
          <cell r="J43">
            <v>0</v>
          </cell>
          <cell r="K43">
            <v>0</v>
          </cell>
          <cell r="L43">
            <v>0</v>
          </cell>
          <cell r="M43">
            <v>0</v>
          </cell>
          <cell r="N43">
            <v>0</v>
          </cell>
          <cell r="O43">
            <v>0</v>
          </cell>
          <cell r="P43">
            <v>0</v>
          </cell>
          <cell r="Q43">
            <v>0</v>
          </cell>
          <cell r="R43">
            <v>0</v>
          </cell>
          <cell r="S43">
            <v>0</v>
          </cell>
          <cell r="T43">
            <v>0</v>
          </cell>
        </row>
        <row r="44">
          <cell r="F44" t="str">
            <v>-</v>
          </cell>
          <cell r="G44" t="str">
            <v>Exigibles</v>
          </cell>
          <cell r="T44">
            <v>0</v>
          </cell>
        </row>
        <row r="45">
          <cell r="F45" t="str">
            <v>-</v>
          </cell>
          <cell r="G45" t="str">
            <v>No exigibles</v>
          </cell>
          <cell r="T45">
            <v>0</v>
          </cell>
        </row>
        <row r="46">
          <cell r="F46" t="str">
            <v>Otros</v>
          </cell>
          <cell r="P46">
            <v>0</v>
          </cell>
          <cell r="T46">
            <v>0</v>
          </cell>
        </row>
        <row r="48">
          <cell r="C48" t="str">
            <v>confis</v>
          </cell>
          <cell r="H48">
            <v>35845.782996527778</v>
          </cell>
          <cell r="S48" t="str">
            <v>c:\ingres97.xls</v>
          </cell>
        </row>
      </sheetData>
      <sheetData sheetId="3" refreshError="1">
        <row r="2">
          <cell r="D2" t="str">
            <v>INGRESOS PROGRAMADOS DE RECAUDO PARA LA TESORERIA</v>
          </cell>
        </row>
        <row r="3">
          <cell r="D3" t="str">
            <v>PESOS</v>
          </cell>
        </row>
        <row r="4">
          <cell r="D4" t="str">
            <v>1997</v>
          </cell>
        </row>
        <row r="5">
          <cell r="D5" t="str">
            <v>Miles de millones de pesos</v>
          </cell>
        </row>
        <row r="7">
          <cell r="H7" t="str">
            <v>Progr.</v>
          </cell>
          <cell r="I7" t="str">
            <v>Progr.</v>
          </cell>
          <cell r="J7" t="str">
            <v>Progr.</v>
          </cell>
          <cell r="K7" t="str">
            <v>Progr.</v>
          </cell>
          <cell r="L7" t="str">
            <v>Progr.</v>
          </cell>
          <cell r="M7" t="str">
            <v>Progr.</v>
          </cell>
          <cell r="N7" t="str">
            <v>Progr.</v>
          </cell>
          <cell r="O7" t="str">
            <v>Progr.</v>
          </cell>
          <cell r="P7" t="str">
            <v>Progr.</v>
          </cell>
          <cell r="Q7" t="str">
            <v>Progr.</v>
          </cell>
          <cell r="R7" t="str">
            <v>Progr.</v>
          </cell>
          <cell r="S7" t="str">
            <v>Progr.</v>
          </cell>
          <cell r="T7" t="str">
            <v>Progr.</v>
          </cell>
        </row>
        <row r="8">
          <cell r="D8" t="str">
            <v>CLASIFICACION DE LOS INGRESOS</v>
          </cell>
          <cell r="H8" t="str">
            <v>Ene</v>
          </cell>
          <cell r="I8" t="str">
            <v>Feb</v>
          </cell>
          <cell r="J8" t="str">
            <v>Mar</v>
          </cell>
          <cell r="K8" t="str">
            <v>Abr</v>
          </cell>
          <cell r="L8" t="str">
            <v>May</v>
          </cell>
          <cell r="M8" t="str">
            <v>Jun</v>
          </cell>
          <cell r="N8" t="str">
            <v>Jul</v>
          </cell>
          <cell r="O8" t="str">
            <v>Ago</v>
          </cell>
          <cell r="P8" t="str">
            <v>Sep</v>
          </cell>
          <cell r="Q8" t="str">
            <v>Oct</v>
          </cell>
          <cell r="R8" t="str">
            <v>Nov</v>
          </cell>
          <cell r="S8" t="str">
            <v>Dic</v>
          </cell>
          <cell r="T8" t="str">
            <v>1997</v>
          </cell>
        </row>
        <row r="10">
          <cell r="D10" t="str">
            <v>INGRESOS DE TESORERIA</v>
          </cell>
          <cell r="H10">
            <v>1109.0986337836141</v>
          </cell>
          <cell r="I10">
            <v>1765.6091627097242</v>
          </cell>
          <cell r="J10">
            <v>1409.3624060842446</v>
          </cell>
          <cell r="K10">
            <v>1730.9008435129435</v>
          </cell>
          <cell r="L10">
            <v>1700.2254655479671</v>
          </cell>
          <cell r="M10">
            <v>1718.3822252455006</v>
          </cell>
          <cell r="N10">
            <v>1994.2461913986008</v>
          </cell>
          <cell r="O10">
            <v>1929.9346913873837</v>
          </cell>
          <cell r="P10">
            <v>1851.2548541715967</v>
          </cell>
          <cell r="Q10">
            <v>1563.7024318803863</v>
          </cell>
          <cell r="R10">
            <v>1156.4856672901965</v>
          </cell>
          <cell r="S10">
            <v>1753.0707045372408</v>
          </cell>
          <cell r="T10">
            <v>19635.797475013678</v>
          </cell>
        </row>
        <row r="11">
          <cell r="D11" t="str">
            <v>1.</v>
          </cell>
          <cell r="E11" t="str">
            <v>INGRESOS CORRIENTES</v>
          </cell>
          <cell r="H11">
            <v>701.07716910883323</v>
          </cell>
          <cell r="I11">
            <v>1406.6193999999998</v>
          </cell>
          <cell r="J11">
            <v>826.18571257264614</v>
          </cell>
          <cell r="K11">
            <v>1158.766599881033</v>
          </cell>
          <cell r="L11">
            <v>976.37469552680034</v>
          </cell>
          <cell r="M11">
            <v>1206.3580765977517</v>
          </cell>
          <cell r="N11">
            <v>1027.8358138803353</v>
          </cell>
          <cell r="O11">
            <v>1277.204922608692</v>
          </cell>
          <cell r="P11">
            <v>902.40422646796435</v>
          </cell>
          <cell r="Q11">
            <v>1272.599177865987</v>
          </cell>
          <cell r="R11">
            <v>823.23277349802368</v>
          </cell>
          <cell r="S11">
            <v>1316.082587592038</v>
          </cell>
          <cell r="T11">
            <v>12890.551827687605</v>
          </cell>
        </row>
        <row r="12">
          <cell r="E12" t="str">
            <v>1.1.</v>
          </cell>
          <cell r="F12" t="str">
            <v>TRIBUTARIOS NETOS</v>
          </cell>
          <cell r="H12">
            <v>671.87829999999997</v>
          </cell>
          <cell r="I12">
            <v>1377.8193999999999</v>
          </cell>
          <cell r="J12">
            <v>794.88571257264618</v>
          </cell>
          <cell r="K12">
            <v>1131.6356558932416</v>
          </cell>
          <cell r="L12">
            <v>945.92995185581094</v>
          </cell>
          <cell r="M12">
            <v>1178.2635413740968</v>
          </cell>
          <cell r="N12">
            <v>994.8713388384574</v>
          </cell>
          <cell r="O12">
            <v>1243.2382258038617</v>
          </cell>
          <cell r="P12">
            <v>861.34619358887539</v>
          </cell>
          <cell r="Q12">
            <v>1227.9154123284868</v>
          </cell>
          <cell r="R12">
            <v>777.51844656240587</v>
          </cell>
          <cell r="S12">
            <v>1263.7437255066948</v>
          </cell>
          <cell r="T12">
            <v>12469.045904324577</v>
          </cell>
        </row>
        <row r="13">
          <cell r="F13" t="str">
            <v>Impuesto sobre la Renta Neto</v>
          </cell>
          <cell r="H13">
            <v>300.03099999999995</v>
          </cell>
          <cell r="I13">
            <v>412.96669999999995</v>
          </cell>
          <cell r="J13">
            <v>422.38810000000001</v>
          </cell>
          <cell r="K13">
            <v>270.87149999999997</v>
          </cell>
          <cell r="L13">
            <v>532.38040000000001</v>
          </cell>
          <cell r="M13">
            <v>355.23997216044501</v>
          </cell>
          <cell r="N13">
            <v>558.91641758847641</v>
          </cell>
          <cell r="O13">
            <v>371.8090108792548</v>
          </cell>
          <cell r="P13">
            <v>440.37570174627211</v>
          </cell>
          <cell r="Q13">
            <v>279.42668778052632</v>
          </cell>
          <cell r="R13">
            <v>351.98717283484154</v>
          </cell>
          <cell r="S13">
            <v>304.67413701018359</v>
          </cell>
          <cell r="T13">
            <v>4601.0667999999996</v>
          </cell>
        </row>
        <row r="14">
          <cell r="F14" t="str">
            <v>Impuesto sobre las ventas Interno Neto</v>
          </cell>
          <cell r="H14">
            <v>72.3048</v>
          </cell>
          <cell r="I14">
            <v>659.58270000000005</v>
          </cell>
          <cell r="J14">
            <v>82.931100000000001</v>
          </cell>
          <cell r="K14">
            <v>541.2278</v>
          </cell>
          <cell r="L14">
            <v>82.533199999999994</v>
          </cell>
          <cell r="M14">
            <v>518.56355474227507</v>
          </cell>
          <cell r="N14">
            <v>116.99062830861816</v>
          </cell>
          <cell r="O14">
            <v>557.47218471947701</v>
          </cell>
          <cell r="P14">
            <v>104.88887038582527</v>
          </cell>
          <cell r="Q14">
            <v>628.72312106976005</v>
          </cell>
          <cell r="R14">
            <v>109.46175963320539</v>
          </cell>
          <cell r="S14">
            <v>630.82109977233199</v>
          </cell>
          <cell r="T14">
            <v>4105.5008186314926</v>
          </cell>
        </row>
        <row r="15">
          <cell r="F15" t="str">
            <v>-</v>
          </cell>
          <cell r="G15" t="str">
            <v>Devoluciones Impuestos Internos</v>
          </cell>
          <cell r="T15">
            <v>0</v>
          </cell>
        </row>
        <row r="16">
          <cell r="F16" t="str">
            <v>Impuestos sobre aduanas y recargos Neto</v>
          </cell>
          <cell r="H16">
            <v>79.530992176990523</v>
          </cell>
          <cell r="I16">
            <v>79.5</v>
          </cell>
          <cell r="J16">
            <v>79.5</v>
          </cell>
          <cell r="K16">
            <v>86.8</v>
          </cell>
          <cell r="L16">
            <v>90.4</v>
          </cell>
          <cell r="M16">
            <v>83.529000000000011</v>
          </cell>
          <cell r="N16">
            <v>97.771530721467357</v>
          </cell>
          <cell r="O16">
            <v>97.880493855706547</v>
          </cell>
          <cell r="P16">
            <v>97.880493855706547</v>
          </cell>
          <cell r="Q16">
            <v>97.880493855706547</v>
          </cell>
          <cell r="R16">
            <v>97.880493855706547</v>
          </cell>
          <cell r="S16">
            <v>97.880493855706547</v>
          </cell>
          <cell r="T16">
            <v>1086.4339921769904</v>
          </cell>
        </row>
        <row r="17">
          <cell r="F17" t="str">
            <v>Impuesto sobre las ventas Externo Neto</v>
          </cell>
          <cell r="H17">
            <v>140.46900782300949</v>
          </cell>
          <cell r="I17">
            <v>140.5</v>
          </cell>
          <cell r="J17">
            <v>140.5</v>
          </cell>
          <cell r="K17">
            <v>153.19999999999999</v>
          </cell>
          <cell r="L17">
            <v>159.6</v>
          </cell>
          <cell r="M17">
            <v>143.29999999999998</v>
          </cell>
          <cell r="N17">
            <v>154.63297367285278</v>
          </cell>
          <cell r="O17">
            <v>154.83340526542943</v>
          </cell>
          <cell r="P17">
            <v>154.83340526542943</v>
          </cell>
          <cell r="Q17">
            <v>154.83340526542943</v>
          </cell>
          <cell r="R17">
            <v>154.83340526542943</v>
          </cell>
          <cell r="S17">
            <v>154.83340526542943</v>
          </cell>
          <cell r="T17">
            <v>1806.3690078230097</v>
          </cell>
        </row>
        <row r="18">
          <cell r="F18" t="str">
            <v>-</v>
          </cell>
          <cell r="G18" t="str">
            <v>Devoluciones Impuestos Externos</v>
          </cell>
          <cell r="T18">
            <v>0</v>
          </cell>
        </row>
        <row r="19">
          <cell r="F19" t="str">
            <v>Impuesto Global a la Gasolina y al ACPM</v>
          </cell>
          <cell r="H19">
            <v>60.442500000000003</v>
          </cell>
          <cell r="I19">
            <v>60.4</v>
          </cell>
          <cell r="J19">
            <v>60.4</v>
          </cell>
          <cell r="K19">
            <v>67.674722222222201</v>
          </cell>
          <cell r="L19">
            <v>68.014937910197958</v>
          </cell>
          <cell r="M19">
            <v>67.510089276573055</v>
          </cell>
          <cell r="N19">
            <v>46.237960557278967</v>
          </cell>
          <cell r="O19">
            <v>47.531574289860103</v>
          </cell>
          <cell r="P19">
            <v>46.214292171755893</v>
          </cell>
          <cell r="Q19">
            <v>48.610620419118682</v>
          </cell>
          <cell r="R19">
            <v>48.577251796072105</v>
          </cell>
          <cell r="S19">
            <v>58.797776860727197</v>
          </cell>
          <cell r="T19">
            <v>680.41172550380611</v>
          </cell>
        </row>
        <row r="20">
          <cell r="F20" t="str">
            <v>Impuesto 5% Pasajes Internacionales</v>
          </cell>
          <cell r="T20">
            <v>0</v>
          </cell>
        </row>
        <row r="21">
          <cell r="F21" t="str">
            <v>Timbre Nacional</v>
          </cell>
          <cell r="H21">
            <v>18.100000000000001</v>
          </cell>
          <cell r="I21">
            <v>23.2</v>
          </cell>
          <cell r="J21">
            <v>7.9965125726461519</v>
          </cell>
          <cell r="K21">
            <v>10.191633671019607</v>
          </cell>
          <cell r="L21">
            <v>10.740413945612969</v>
          </cell>
          <cell r="M21">
            <v>9.0509251948038436</v>
          </cell>
          <cell r="N21">
            <v>15.751827989763688</v>
          </cell>
          <cell r="O21">
            <v>12.641556794133745</v>
          </cell>
          <cell r="P21">
            <v>16.253430163886243</v>
          </cell>
          <cell r="Q21">
            <v>17.959083937945771</v>
          </cell>
          <cell r="R21">
            <v>14.390363177150888</v>
          </cell>
          <cell r="S21">
            <v>14.848812742315825</v>
          </cell>
          <cell r="T21">
            <v>171.12456018927872</v>
          </cell>
        </row>
        <row r="22">
          <cell r="F22" t="str">
            <v>Timbre Nacional Salidas al Exterior</v>
          </cell>
          <cell r="H22">
            <v>1</v>
          </cell>
          <cell r="I22">
            <v>0.97</v>
          </cell>
          <cell r="J22">
            <v>0.97</v>
          </cell>
          <cell r="K22">
            <v>0.97</v>
          </cell>
          <cell r="L22">
            <v>1.2610000000000001</v>
          </cell>
          <cell r="M22">
            <v>0.97</v>
          </cell>
          <cell r="N22">
            <v>0.97</v>
          </cell>
          <cell r="O22">
            <v>0.97</v>
          </cell>
          <cell r="P22">
            <v>0.8</v>
          </cell>
          <cell r="Q22">
            <v>0.28199999999999997</v>
          </cell>
          <cell r="R22">
            <v>0.188</v>
          </cell>
          <cell r="S22">
            <v>0.188</v>
          </cell>
          <cell r="T22">
            <v>9.5390000000000015</v>
          </cell>
        </row>
        <row r="23">
          <cell r="F23" t="str">
            <v>Timbre de Consulados</v>
          </cell>
          <cell r="I23">
            <v>0.7</v>
          </cell>
          <cell r="J23">
            <v>0.2</v>
          </cell>
          <cell r="K23">
            <v>0.5</v>
          </cell>
          <cell r="L23">
            <v>0.7</v>
          </cell>
          <cell r="N23">
            <v>3.5</v>
          </cell>
          <cell r="S23">
            <v>1.5</v>
          </cell>
          <cell r="T23">
            <v>7.1</v>
          </cell>
        </row>
        <row r="24">
          <cell r="F24" t="str">
            <v>Impuesto al Oro y Platino</v>
          </cell>
          <cell r="K24">
            <v>0.2</v>
          </cell>
          <cell r="L24">
            <v>0.3</v>
          </cell>
          <cell r="M24">
            <v>9.9999999999999978E-2</v>
          </cell>
          <cell r="N24">
            <v>0.1</v>
          </cell>
          <cell r="O24">
            <v>0.1</v>
          </cell>
          <cell r="P24">
            <v>0.1</v>
          </cell>
          <cell r="Q24">
            <v>0.2</v>
          </cell>
          <cell r="R24">
            <v>0.2</v>
          </cell>
          <cell r="S24">
            <v>0.2</v>
          </cell>
          <cell r="T24">
            <v>1.4999999999999998</v>
          </cell>
        </row>
        <row r="25">
          <cell r="F25" t="str">
            <v>Impuesto al Endeudamiento Externo</v>
          </cell>
          <cell r="I25">
            <v>0</v>
          </cell>
          <cell r="J25">
            <v>0</v>
          </cell>
          <cell r="K25">
            <v>0</v>
          </cell>
          <cell r="L25">
            <v>0</v>
          </cell>
          <cell r="M25">
            <v>0</v>
          </cell>
          <cell r="N25">
            <v>0</v>
          </cell>
          <cell r="O25">
            <v>0</v>
          </cell>
          <cell r="P25">
            <v>0</v>
          </cell>
          <cell r="Q25">
            <v>0</v>
          </cell>
          <cell r="R25">
            <v>0</v>
          </cell>
          <cell r="S25">
            <v>0</v>
          </cell>
          <cell r="T25">
            <v>0</v>
          </cell>
        </row>
        <row r="27">
          <cell r="E27" t="str">
            <v>1.2.</v>
          </cell>
          <cell r="F27" t="str">
            <v>NO TRIBUTARIOS</v>
          </cell>
          <cell r="H27">
            <v>29.198869108833222</v>
          </cell>
          <cell r="I27">
            <v>28.8</v>
          </cell>
          <cell r="J27">
            <v>31.3</v>
          </cell>
          <cell r="K27">
            <v>27.130943987791408</v>
          </cell>
          <cell r="L27">
            <v>30.444743670989389</v>
          </cell>
          <cell r="M27">
            <v>28.094535223654923</v>
          </cell>
          <cell r="N27">
            <v>32.964475041877975</v>
          </cell>
          <cell r="O27">
            <v>33.966696804830221</v>
          </cell>
          <cell r="P27">
            <v>41.058032879088955</v>
          </cell>
          <cell r="Q27">
            <v>44.683765537500214</v>
          </cell>
          <cell r="R27">
            <v>45.714326935617784</v>
          </cell>
          <cell r="S27">
            <v>52.338862085343102</v>
          </cell>
          <cell r="T27">
            <v>421.50592336302719</v>
          </cell>
        </row>
        <row r="28">
          <cell r="F28" t="str">
            <v>Cuota de Valorización Obras Nacionales</v>
          </cell>
          <cell r="T28">
            <v>0</v>
          </cell>
        </row>
        <row r="29">
          <cell r="F29" t="str">
            <v>Tasas, Multas y contribuciones NEP</v>
          </cell>
          <cell r="H29">
            <v>2.971571263926239</v>
          </cell>
          <cell r="I29">
            <v>3.1</v>
          </cell>
          <cell r="J29">
            <v>2.6</v>
          </cell>
          <cell r="K29">
            <v>0.83203995389934704</v>
          </cell>
          <cell r="L29">
            <v>0.83235920128808694</v>
          </cell>
          <cell r="M29">
            <v>0.62458576923480202</v>
          </cell>
          <cell r="N29">
            <v>0.76403102564640202</v>
          </cell>
          <cell r="O29">
            <v>0.27889051282320099</v>
          </cell>
          <cell r="P29">
            <v>0.97611679488120406</v>
          </cell>
          <cell r="Q29">
            <v>4.7294671795248178</v>
          </cell>
          <cell r="R29">
            <v>2.372842346168766</v>
          </cell>
          <cell r="S29">
            <v>3.2095138846383717</v>
          </cell>
          <cell r="T29">
            <v>23.291417932031241</v>
          </cell>
        </row>
        <row r="30">
          <cell r="F30" t="str">
            <v>Contribución Hidrocarburos</v>
          </cell>
          <cell r="H30">
            <v>22</v>
          </cell>
          <cell r="I30">
            <v>22</v>
          </cell>
          <cell r="J30">
            <v>22</v>
          </cell>
          <cell r="K30">
            <v>23</v>
          </cell>
          <cell r="L30">
            <v>26.92924657871426</v>
          </cell>
          <cell r="M30">
            <v>26.163933174329078</v>
          </cell>
          <cell r="N30">
            <v>28.791741525193945</v>
          </cell>
          <cell r="O30">
            <v>31.365999571845165</v>
          </cell>
          <cell r="P30">
            <v>35.89258817170775</v>
          </cell>
          <cell r="Q30">
            <v>37.614982077884349</v>
          </cell>
          <cell r="R30">
            <v>39.681940737265919</v>
          </cell>
          <cell r="S30">
            <v>42.410028342390405</v>
          </cell>
          <cell r="T30">
            <v>357.85046017933087</v>
          </cell>
        </row>
        <row r="31">
          <cell r="F31" t="str">
            <v>5% Contratos Obras Públicas Ley104/93</v>
          </cell>
          <cell r="H31">
            <v>4.2272978449069809</v>
          </cell>
          <cell r="I31">
            <v>3.7</v>
          </cell>
          <cell r="J31">
            <v>1.7</v>
          </cell>
          <cell r="K31">
            <v>2.2989040338920601</v>
          </cell>
          <cell r="L31">
            <v>2.6831378909870427</v>
          </cell>
          <cell r="M31">
            <v>1.3060162800910444</v>
          </cell>
          <cell r="N31">
            <v>3.4087024910376238</v>
          </cell>
          <cell r="O31">
            <v>2.3218067201618524</v>
          </cell>
          <cell r="P31">
            <v>0</v>
          </cell>
          <cell r="Q31">
            <v>2.3393162800910448</v>
          </cell>
          <cell r="R31">
            <v>3.6595438521831016</v>
          </cell>
          <cell r="S31">
            <v>6.7193198583143285</v>
          </cell>
          <cell r="T31">
            <v>34.364045251665075</v>
          </cell>
        </row>
        <row r="32">
          <cell r="F32" t="str">
            <v>Telefonía Celular</v>
          </cell>
          <cell r="T32">
            <v>0</v>
          </cell>
        </row>
        <row r="33">
          <cell r="F33" t="str">
            <v>Concesiones</v>
          </cell>
          <cell r="H33">
            <v>0</v>
          </cell>
          <cell r="I33">
            <v>0</v>
          </cell>
          <cell r="J33">
            <v>5</v>
          </cell>
          <cell r="K33">
            <v>1</v>
          </cell>
          <cell r="L33">
            <v>0</v>
          </cell>
          <cell r="M33">
            <v>0</v>
          </cell>
          <cell r="N33">
            <v>0</v>
          </cell>
          <cell r="O33">
            <v>0</v>
          </cell>
          <cell r="P33">
            <v>4.1893279124999996</v>
          </cell>
          <cell r="Q33">
            <v>0</v>
          </cell>
          <cell r="R33">
            <v>0</v>
          </cell>
          <cell r="S33">
            <v>0</v>
          </cell>
          <cell r="T33">
            <v>6</v>
          </cell>
        </row>
        <row r="34">
          <cell r="F34" t="str">
            <v>-</v>
          </cell>
          <cell r="G34" t="str">
            <v>Larga Distancia Nacional</v>
          </cell>
          <cell r="T34">
            <v>0</v>
          </cell>
        </row>
        <row r="35">
          <cell r="F35" t="str">
            <v>-</v>
          </cell>
          <cell r="G35" t="str">
            <v>Larga Distancia Internacional</v>
          </cell>
          <cell r="P35">
            <v>0</v>
          </cell>
          <cell r="T35">
            <v>0</v>
          </cell>
        </row>
        <row r="36">
          <cell r="F36" t="str">
            <v>-</v>
          </cell>
          <cell r="G36" t="str">
            <v>Sociedades Portuarias</v>
          </cell>
          <cell r="J36">
            <v>5</v>
          </cell>
          <cell r="K36">
            <v>1</v>
          </cell>
          <cell r="T36">
            <v>6</v>
          </cell>
        </row>
        <row r="37">
          <cell r="F37" t="str">
            <v>-</v>
          </cell>
          <cell r="G37" t="str">
            <v>Otras</v>
          </cell>
          <cell r="T37">
            <v>0</v>
          </cell>
        </row>
        <row r="38">
          <cell r="F38" t="str">
            <v>Contraprestación Icel-Corelca</v>
          </cell>
          <cell r="T38">
            <v>0</v>
          </cell>
        </row>
        <row r="39">
          <cell r="F39" t="str">
            <v>Otros No Tributarios</v>
          </cell>
          <cell r="S39">
            <v>0</v>
          </cell>
          <cell r="T39">
            <v>0</v>
          </cell>
        </row>
        <row r="41">
          <cell r="D41" t="str">
            <v>2.</v>
          </cell>
          <cell r="E41" t="str">
            <v>RECURSOS DE CAPITAL</v>
          </cell>
          <cell r="H41">
            <v>380.3766812835384</v>
          </cell>
          <cell r="I41">
            <v>322.88941108690256</v>
          </cell>
          <cell r="J41">
            <v>550.46291219979003</v>
          </cell>
          <cell r="K41">
            <v>547.47000605516428</v>
          </cell>
          <cell r="L41">
            <v>691.74724401334356</v>
          </cell>
          <cell r="M41">
            <v>458.26088052744848</v>
          </cell>
          <cell r="N41">
            <v>935.30210455721863</v>
          </cell>
          <cell r="O41">
            <v>619.38038208058447</v>
          </cell>
          <cell r="P41">
            <v>918.61479200045471</v>
          </cell>
          <cell r="Q41">
            <v>254.76736858995878</v>
          </cell>
          <cell r="R41">
            <v>291.55501629747278</v>
          </cell>
          <cell r="S41">
            <v>378.68662325666514</v>
          </cell>
          <cell r="T41">
            <v>6309.1904219485423</v>
          </cell>
        </row>
        <row r="42">
          <cell r="E42" t="str">
            <v>2.1</v>
          </cell>
          <cell r="F42" t="str">
            <v>CREDITO EXTERNO</v>
          </cell>
          <cell r="H42">
            <v>0</v>
          </cell>
          <cell r="I42">
            <v>0</v>
          </cell>
          <cell r="J42">
            <v>0</v>
          </cell>
          <cell r="K42">
            <v>0</v>
          </cell>
          <cell r="L42">
            <v>0</v>
          </cell>
          <cell r="M42">
            <v>0</v>
          </cell>
          <cell r="N42">
            <v>0</v>
          </cell>
          <cell r="O42">
            <v>0</v>
          </cell>
          <cell r="P42">
            <v>0</v>
          </cell>
          <cell r="Q42">
            <v>0</v>
          </cell>
          <cell r="R42">
            <v>0</v>
          </cell>
          <cell r="S42">
            <v>0</v>
          </cell>
          <cell r="T42">
            <v>0</v>
          </cell>
        </row>
        <row r="43">
          <cell r="F43" t="str">
            <v>Banca Multilateral</v>
          </cell>
          <cell r="T43">
            <v>0</v>
          </cell>
        </row>
        <row r="44">
          <cell r="F44" t="str">
            <v>Banca Comercial</v>
          </cell>
          <cell r="T44">
            <v>0</v>
          </cell>
        </row>
        <row r="45">
          <cell r="F45" t="str">
            <v>Bonos Resol. 4308/94</v>
          </cell>
          <cell r="T45">
            <v>0</v>
          </cell>
        </row>
        <row r="46">
          <cell r="F46" t="str">
            <v>Bonos Externos</v>
          </cell>
          <cell r="T46">
            <v>0</v>
          </cell>
        </row>
        <row r="48">
          <cell r="E48" t="str">
            <v>2.2</v>
          </cell>
          <cell r="F48" t="str">
            <v>CREDITO INTERNO</v>
          </cell>
          <cell r="H48">
            <v>366.71800000000002</v>
          </cell>
          <cell r="I48">
            <v>230.15110914380179</v>
          </cell>
          <cell r="J48">
            <v>377.76291219978998</v>
          </cell>
          <cell r="K48">
            <v>517.47121621495808</v>
          </cell>
          <cell r="L48">
            <v>670.7728257158501</v>
          </cell>
          <cell r="M48">
            <v>287.71872338100593</v>
          </cell>
          <cell r="N48">
            <v>750.70593967956142</v>
          </cell>
          <cell r="O48">
            <v>459.4886352406653</v>
          </cell>
          <cell r="P48">
            <v>729.08154953300777</v>
          </cell>
          <cell r="Q48">
            <v>225.46232428525028</v>
          </cell>
          <cell r="R48">
            <v>244.73463382372159</v>
          </cell>
          <cell r="S48">
            <v>195.65699999999998</v>
          </cell>
          <cell r="T48">
            <v>5015.4018692176123</v>
          </cell>
        </row>
        <row r="49">
          <cell r="F49" t="str">
            <v>TES Convenidos</v>
          </cell>
          <cell r="H49">
            <v>116.718</v>
          </cell>
          <cell r="I49">
            <v>76.635999999999996</v>
          </cell>
          <cell r="J49">
            <v>129.99199999999999</v>
          </cell>
          <cell r="K49">
            <v>266.02800000000002</v>
          </cell>
          <cell r="L49">
            <v>151.977</v>
          </cell>
          <cell r="M49">
            <v>62.365000000000002</v>
          </cell>
          <cell r="N49">
            <v>92.058999999999997</v>
          </cell>
          <cell r="O49">
            <v>85.102000000000004</v>
          </cell>
          <cell r="P49">
            <v>382.45</v>
          </cell>
          <cell r="Q49">
            <v>101.036</v>
          </cell>
          <cell r="R49">
            <v>140.01499999999999</v>
          </cell>
          <cell r="S49">
            <v>195.65699999999998</v>
          </cell>
          <cell r="T49">
            <v>1759.7119999999998</v>
          </cell>
        </row>
        <row r="50">
          <cell r="F50" t="str">
            <v>-</v>
          </cell>
          <cell r="G50" t="str">
            <v>ISS</v>
          </cell>
          <cell r="H50">
            <v>66.718000000000004</v>
          </cell>
          <cell r="I50">
            <v>76.635999999999996</v>
          </cell>
          <cell r="J50">
            <v>107.092</v>
          </cell>
          <cell r="K50">
            <v>265.02800000000002</v>
          </cell>
          <cell r="L50">
            <v>97.777000000000001</v>
          </cell>
          <cell r="M50">
            <v>40.265000000000001</v>
          </cell>
          <cell r="N50">
            <v>92.058999999999997</v>
          </cell>
          <cell r="O50">
            <v>85.102000000000004</v>
          </cell>
          <cell r="P50">
            <v>296.23500000000001</v>
          </cell>
          <cell r="Q50">
            <v>0</v>
          </cell>
          <cell r="R50">
            <v>0</v>
          </cell>
          <cell r="S50">
            <v>0</v>
          </cell>
          <cell r="T50">
            <v>1126.9119999999998</v>
          </cell>
        </row>
        <row r="51">
          <cell r="F51" t="str">
            <v>-</v>
          </cell>
          <cell r="G51" t="str">
            <v>Telecom</v>
          </cell>
          <cell r="H51">
            <v>0</v>
          </cell>
          <cell r="I51">
            <v>0</v>
          </cell>
          <cell r="J51">
            <v>0</v>
          </cell>
          <cell r="K51">
            <v>0</v>
          </cell>
          <cell r="L51">
            <v>0</v>
          </cell>
          <cell r="M51">
            <v>0</v>
          </cell>
          <cell r="N51">
            <v>0</v>
          </cell>
          <cell r="O51">
            <v>0</v>
          </cell>
          <cell r="P51">
            <v>0</v>
          </cell>
          <cell r="Q51">
            <v>0</v>
          </cell>
          <cell r="R51">
            <v>0</v>
          </cell>
          <cell r="S51">
            <v>0</v>
          </cell>
          <cell r="T51">
            <v>0</v>
          </cell>
        </row>
        <row r="52">
          <cell r="F52" t="str">
            <v>-</v>
          </cell>
          <cell r="G52" t="str">
            <v>Ecopetrol</v>
          </cell>
          <cell r="H52">
            <v>50</v>
          </cell>
          <cell r="I52">
            <v>0</v>
          </cell>
          <cell r="J52">
            <v>0</v>
          </cell>
          <cell r="K52">
            <v>0</v>
          </cell>
          <cell r="L52">
            <v>0</v>
          </cell>
          <cell r="M52">
            <v>0</v>
          </cell>
          <cell r="N52">
            <v>0</v>
          </cell>
          <cell r="O52">
            <v>0</v>
          </cell>
          <cell r="P52">
            <v>0</v>
          </cell>
          <cell r="Q52">
            <v>0</v>
          </cell>
          <cell r="R52">
            <v>0</v>
          </cell>
          <cell r="S52">
            <v>0</v>
          </cell>
          <cell r="T52">
            <v>50</v>
          </cell>
        </row>
        <row r="53">
          <cell r="F53" t="str">
            <v>-</v>
          </cell>
          <cell r="G53" t="str">
            <v>Otros</v>
          </cell>
          <cell r="H53">
            <v>0</v>
          </cell>
          <cell r="I53">
            <v>0</v>
          </cell>
          <cell r="J53">
            <v>22.9</v>
          </cell>
          <cell r="K53">
            <v>1</v>
          </cell>
          <cell r="L53">
            <v>54.2</v>
          </cell>
          <cell r="M53">
            <v>22.1</v>
          </cell>
          <cell r="N53">
            <v>70</v>
          </cell>
          <cell r="O53">
            <v>70</v>
          </cell>
          <cell r="P53">
            <v>74.599999999999994</v>
          </cell>
          <cell r="Q53">
            <v>32.6</v>
          </cell>
          <cell r="R53">
            <v>32.6</v>
          </cell>
          <cell r="S53">
            <v>202.79999999999998</v>
          </cell>
          <cell r="T53">
            <v>582.79999999999995</v>
          </cell>
        </row>
        <row r="54">
          <cell r="F54" t="str">
            <v>TES Subastas</v>
          </cell>
          <cell r="H54">
            <v>100</v>
          </cell>
          <cell r="I54">
            <v>91.8</v>
          </cell>
          <cell r="J54">
            <v>91.8</v>
          </cell>
          <cell r="K54">
            <v>91.8</v>
          </cell>
          <cell r="L54">
            <v>160.82836400000002</v>
          </cell>
          <cell r="M54">
            <v>145.68512794082542</v>
          </cell>
          <cell r="N54">
            <v>177.58576494394242</v>
          </cell>
          <cell r="O54">
            <v>120.00641697117565</v>
          </cell>
          <cell r="P54">
            <v>115.87254878652655</v>
          </cell>
          <cell r="Q54">
            <v>124.42632428525027</v>
          </cell>
          <cell r="R54">
            <v>4.719633823721594</v>
          </cell>
          <cell r="S54">
            <v>0</v>
          </cell>
          <cell r="T54">
            <v>1224.5241807514419</v>
          </cell>
        </row>
        <row r="55">
          <cell r="F55" t="str">
            <v>TES Inversión Forzosa</v>
          </cell>
          <cell r="H55">
            <v>150</v>
          </cell>
          <cell r="I55">
            <v>61.715109143801804</v>
          </cell>
          <cell r="J55">
            <v>155.97091219979001</v>
          </cell>
          <cell r="K55">
            <v>159.64321621495799</v>
          </cell>
          <cell r="L55">
            <v>195.95822258717899</v>
          </cell>
          <cell r="M55">
            <v>79.668595440180496</v>
          </cell>
          <cell r="N55">
            <v>360.06117473561909</v>
          </cell>
          <cell r="O55">
            <v>204.3802182694896</v>
          </cell>
          <cell r="P55">
            <v>130.75900074648132</v>
          </cell>
          <cell r="Q55">
            <v>0</v>
          </cell>
          <cell r="R55">
            <v>0</v>
          </cell>
          <cell r="S55">
            <v>0</v>
          </cell>
          <cell r="T55">
            <v>1498.1564493374995</v>
          </cell>
        </row>
        <row r="56">
          <cell r="F56" t="str">
            <v>Bonos de Seguridad</v>
          </cell>
          <cell r="H56">
            <v>0</v>
          </cell>
          <cell r="I56">
            <v>0</v>
          </cell>
          <cell r="J56">
            <v>0</v>
          </cell>
          <cell r="K56">
            <v>0</v>
          </cell>
          <cell r="L56">
            <v>62.009239128671091</v>
          </cell>
          <cell r="M56">
            <v>0</v>
          </cell>
          <cell r="N56">
            <v>121</v>
          </cell>
          <cell r="O56">
            <v>50</v>
          </cell>
          <cell r="P56">
            <v>0</v>
          </cell>
          <cell r="Q56">
            <v>0</v>
          </cell>
          <cell r="R56">
            <v>0</v>
          </cell>
          <cell r="S56">
            <v>0</v>
          </cell>
          <cell r="T56">
            <v>233.00923912867108</v>
          </cell>
        </row>
        <row r="57">
          <cell r="F57" t="str">
            <v>TES de corto plazo</v>
          </cell>
          <cell r="H57">
            <v>0</v>
          </cell>
          <cell r="I57">
            <v>0</v>
          </cell>
          <cell r="K57">
            <v>0</v>
          </cell>
          <cell r="L57">
            <v>100</v>
          </cell>
          <cell r="M57">
            <v>0</v>
          </cell>
          <cell r="N57">
            <v>0</v>
          </cell>
          <cell r="O57">
            <v>0</v>
          </cell>
          <cell r="P57">
            <v>100</v>
          </cell>
          <cell r="Q57">
            <v>0</v>
          </cell>
          <cell r="R57">
            <v>100</v>
          </cell>
          <cell r="S57">
            <v>0</v>
          </cell>
          <cell r="T57">
            <v>300</v>
          </cell>
        </row>
        <row r="59">
          <cell r="E59" t="str">
            <v>2.3.</v>
          </cell>
          <cell r="F59" t="str">
            <v>OTROS RECURSOS DE CAPITAL</v>
          </cell>
          <cell r="H59">
            <v>13.658681283538403</v>
          </cell>
          <cell r="I59">
            <v>92.738301943100765</v>
          </cell>
          <cell r="J59">
            <v>172.7</v>
          </cell>
          <cell r="K59">
            <v>29.998789840206186</v>
          </cell>
          <cell r="L59">
            <v>20.974418297493415</v>
          </cell>
          <cell r="M59">
            <v>170.54215714644255</v>
          </cell>
          <cell r="N59">
            <v>184.59616487765717</v>
          </cell>
          <cell r="O59">
            <v>159.89174683991916</v>
          </cell>
          <cell r="P59">
            <v>189.53324246744697</v>
          </cell>
          <cell r="Q59">
            <v>29.305044304708506</v>
          </cell>
          <cell r="R59">
            <v>46.820382473751181</v>
          </cell>
          <cell r="S59">
            <v>183.02962325666513</v>
          </cell>
          <cell r="T59">
            <v>1293.7885527309295</v>
          </cell>
        </row>
        <row r="60">
          <cell r="F60" t="str">
            <v>Recuperación de Cartera SPNF</v>
          </cell>
          <cell r="H60">
            <v>1.5389999999999999</v>
          </cell>
          <cell r="I60">
            <v>2.1778</v>
          </cell>
          <cell r="J60">
            <v>20.100000000000001</v>
          </cell>
          <cell r="K60">
            <v>0.223</v>
          </cell>
          <cell r="L60">
            <v>3.2370000000000001</v>
          </cell>
          <cell r="M60">
            <v>25.085000000000001</v>
          </cell>
          <cell r="N60">
            <v>1.096689375721686</v>
          </cell>
          <cell r="O60">
            <v>1.4323977912433654</v>
          </cell>
          <cell r="P60">
            <v>12.204177175122091</v>
          </cell>
          <cell r="Q60">
            <v>1.6509677743996103</v>
          </cell>
          <cell r="R60">
            <v>1.397563418328972</v>
          </cell>
          <cell r="S60">
            <v>21.756404465184275</v>
          </cell>
          <cell r="T60">
            <v>91.899999999999991</v>
          </cell>
        </row>
        <row r="61">
          <cell r="F61" t="str">
            <v>Recuperación de Cartera SPF</v>
          </cell>
          <cell r="S61">
            <v>8.1000000000000014</v>
          </cell>
          <cell r="T61">
            <v>8.1000000000000014</v>
          </cell>
        </row>
        <row r="62">
          <cell r="F62" t="str">
            <v>Rendimientos Financieros Portafolio</v>
          </cell>
          <cell r="I62">
            <v>2</v>
          </cell>
          <cell r="J62">
            <v>3</v>
          </cell>
          <cell r="K62">
            <v>7</v>
          </cell>
          <cell r="L62">
            <v>5.7633723330006204</v>
          </cell>
          <cell r="M62">
            <v>4.519024780865009</v>
          </cell>
          <cell r="N62">
            <v>12.366200009698105</v>
          </cell>
          <cell r="O62">
            <v>11.567340970263652</v>
          </cell>
          <cell r="P62">
            <v>9.033778604086141</v>
          </cell>
          <cell r="Q62">
            <v>8.9142718220435455</v>
          </cell>
          <cell r="R62">
            <v>9.088742890797322</v>
          </cell>
          <cell r="S62">
            <v>10.206095067016435</v>
          </cell>
          <cell r="T62">
            <v>83.458826477770828</v>
          </cell>
        </row>
        <row r="63">
          <cell r="F63" t="str">
            <v>Rendimientos Financieros Entidades</v>
          </cell>
          <cell r="H63">
            <v>2</v>
          </cell>
          <cell r="I63">
            <v>2.0664580924855489</v>
          </cell>
          <cell r="J63">
            <v>2</v>
          </cell>
          <cell r="K63">
            <v>15</v>
          </cell>
          <cell r="L63">
            <v>3.03890895953757</v>
          </cell>
          <cell r="M63">
            <v>4.5676748950433073</v>
          </cell>
          <cell r="N63">
            <v>10.852332334209898</v>
          </cell>
          <cell r="O63">
            <v>1.2297586255885826</v>
          </cell>
          <cell r="P63">
            <v>1.3175985274163389</v>
          </cell>
          <cell r="Q63">
            <v>7.7043802819906304</v>
          </cell>
          <cell r="R63">
            <v>1.3175985274163389</v>
          </cell>
          <cell r="S63">
            <v>15.010656808334909</v>
          </cell>
          <cell r="T63">
            <v>66.105367052023112</v>
          </cell>
        </row>
        <row r="64">
          <cell r="F64" t="str">
            <v>Donaciones</v>
          </cell>
          <cell r="R64">
            <v>9.25</v>
          </cell>
          <cell r="S64">
            <v>9.25</v>
          </cell>
          <cell r="T64">
            <v>18.5</v>
          </cell>
        </row>
        <row r="65">
          <cell r="F65" t="str">
            <v>Apalancamiento de Betania</v>
          </cell>
          <cell r="T65">
            <v>0</v>
          </cell>
        </row>
        <row r="66">
          <cell r="F66" t="str">
            <v>Enajenación de Activos</v>
          </cell>
          <cell r="H66">
            <v>0</v>
          </cell>
          <cell r="I66">
            <v>76.135000000000005</v>
          </cell>
          <cell r="J66">
            <v>0</v>
          </cell>
          <cell r="K66">
            <v>0</v>
          </cell>
          <cell r="L66">
            <v>0</v>
          </cell>
          <cell r="M66">
            <v>0</v>
          </cell>
          <cell r="N66">
            <v>0</v>
          </cell>
          <cell r="O66">
            <v>0</v>
          </cell>
          <cell r="P66">
            <v>0</v>
          </cell>
          <cell r="Q66">
            <v>0</v>
          </cell>
          <cell r="R66">
            <v>0</v>
          </cell>
          <cell r="S66">
            <v>0</v>
          </cell>
          <cell r="T66">
            <v>76.135000000000005</v>
          </cell>
        </row>
        <row r="67">
          <cell r="F67" t="str">
            <v>-</v>
          </cell>
          <cell r="G67" t="str">
            <v>Banco Popular</v>
          </cell>
          <cell r="T67">
            <v>0</v>
          </cell>
        </row>
        <row r="68">
          <cell r="F68" t="str">
            <v>-</v>
          </cell>
          <cell r="G68" t="str">
            <v>Betania</v>
          </cell>
          <cell r="T68">
            <v>0</v>
          </cell>
        </row>
        <row r="69">
          <cell r="F69" t="str">
            <v>-</v>
          </cell>
          <cell r="G69" t="str">
            <v>Termotasajero</v>
          </cell>
          <cell r="T69">
            <v>0</v>
          </cell>
        </row>
        <row r="70">
          <cell r="F70" t="str">
            <v>-</v>
          </cell>
          <cell r="G70" t="str">
            <v>Termocartagena</v>
          </cell>
          <cell r="T70">
            <v>0</v>
          </cell>
        </row>
        <row r="71">
          <cell r="F71" t="str">
            <v>-</v>
          </cell>
          <cell r="G71" t="str">
            <v>Chivor</v>
          </cell>
          <cell r="T71">
            <v>0</v>
          </cell>
        </row>
        <row r="72">
          <cell r="F72" t="str">
            <v>-</v>
          </cell>
          <cell r="G72" t="str">
            <v>Cerromatoso</v>
          </cell>
          <cell r="I72">
            <v>76.135000000000005</v>
          </cell>
          <cell r="T72">
            <v>76.135000000000005</v>
          </cell>
        </row>
        <row r="73">
          <cell r="F73" t="str">
            <v>-</v>
          </cell>
          <cell r="G73" t="str">
            <v>Carbocol</v>
          </cell>
          <cell r="T73">
            <v>0</v>
          </cell>
        </row>
        <row r="74">
          <cell r="F74" t="str">
            <v>-</v>
          </cell>
          <cell r="G74" t="str">
            <v>Epsa</v>
          </cell>
          <cell r="T74">
            <v>0</v>
          </cell>
        </row>
        <row r="75">
          <cell r="F75" t="str">
            <v>Reintegros</v>
          </cell>
          <cell r="H75">
            <v>10</v>
          </cell>
          <cell r="I75">
            <v>10</v>
          </cell>
          <cell r="J75">
            <v>6.1</v>
          </cell>
          <cell r="K75">
            <v>3.3475823492852701</v>
          </cell>
          <cell r="L75">
            <v>2.7996517268046435</v>
          </cell>
          <cell r="M75">
            <v>14.958101911085247</v>
          </cell>
          <cell r="N75">
            <v>4.0419431580274763</v>
          </cell>
          <cell r="O75">
            <v>22.383449452823548</v>
          </cell>
          <cell r="P75">
            <v>18.579267657032968</v>
          </cell>
          <cell r="Q75">
            <v>3.9626893706151733</v>
          </cell>
          <cell r="R75">
            <v>4.7552272447382089</v>
          </cell>
          <cell r="S75">
            <v>28.219051415193622</v>
          </cell>
          <cell r="T75">
            <v>129.14696428560617</v>
          </cell>
        </row>
        <row r="76">
          <cell r="F76" t="str">
            <v>-</v>
          </cell>
          <cell r="G76" t="str">
            <v>Exigibles</v>
          </cell>
          <cell r="T76">
            <v>0</v>
          </cell>
        </row>
        <row r="77">
          <cell r="F77" t="str">
            <v>-</v>
          </cell>
          <cell r="G77" t="str">
            <v>No Exigibles</v>
          </cell>
          <cell r="H77">
            <v>10</v>
          </cell>
          <cell r="I77">
            <v>10</v>
          </cell>
          <cell r="J77">
            <v>6.1</v>
          </cell>
          <cell r="K77">
            <v>3.3475823492852701</v>
          </cell>
          <cell r="L77">
            <v>2.7996517268046435</v>
          </cell>
          <cell r="M77">
            <v>14.958101911085247</v>
          </cell>
          <cell r="N77">
            <v>4.0419431580274763</v>
          </cell>
          <cell r="O77">
            <v>22.383449452823548</v>
          </cell>
          <cell r="P77">
            <v>18.579267657032968</v>
          </cell>
          <cell r="Q77">
            <v>3.9626893706151733</v>
          </cell>
          <cell r="R77">
            <v>4.7552272447382089</v>
          </cell>
          <cell r="S77">
            <v>28.219051415193622</v>
          </cell>
          <cell r="T77">
            <v>129.14696428560617</v>
          </cell>
        </row>
        <row r="78">
          <cell r="F78" t="str">
            <v>Recursos No Apropiados</v>
          </cell>
          <cell r="H78">
            <v>0.11968128353840318</v>
          </cell>
          <cell r="I78">
            <v>0.35904385061520949</v>
          </cell>
          <cell r="J78">
            <v>3.3</v>
          </cell>
          <cell r="K78">
            <v>4.4282074909209204</v>
          </cell>
          <cell r="L78">
            <v>6.1354852781505809</v>
          </cell>
          <cell r="M78">
            <v>4.8211555594489761</v>
          </cell>
          <cell r="N78">
            <v>0</v>
          </cell>
          <cell r="O78">
            <v>0</v>
          </cell>
          <cell r="P78">
            <v>4.2484205037894229</v>
          </cell>
          <cell r="Q78">
            <v>0.57273505565954475</v>
          </cell>
          <cell r="R78">
            <v>3.1029503924703397</v>
          </cell>
          <cell r="S78">
            <v>5.1546155009359014</v>
          </cell>
          <cell r="T78">
            <v>32.2422949155293</v>
          </cell>
        </row>
        <row r="79">
          <cell r="F79" t="str">
            <v>Excedentes Financieros</v>
          </cell>
          <cell r="H79">
            <v>0</v>
          </cell>
          <cell r="I79">
            <v>0</v>
          </cell>
          <cell r="J79">
            <v>138.19999999999999</v>
          </cell>
          <cell r="K79">
            <v>0</v>
          </cell>
          <cell r="L79">
            <v>0</v>
          </cell>
          <cell r="M79">
            <v>116.5912</v>
          </cell>
          <cell r="N79">
            <v>156.239</v>
          </cell>
          <cell r="O79">
            <v>123.2788</v>
          </cell>
          <cell r="P79">
            <v>144.15</v>
          </cell>
          <cell r="Q79">
            <v>6.5</v>
          </cell>
          <cell r="R79">
            <v>17.908300000000001</v>
          </cell>
          <cell r="S79">
            <v>56.332799999999999</v>
          </cell>
          <cell r="T79">
            <v>759.20010000000002</v>
          </cell>
        </row>
        <row r="80">
          <cell r="F80" t="str">
            <v>-</v>
          </cell>
          <cell r="G80" t="str">
            <v>Ecopetrol</v>
          </cell>
          <cell r="N80">
            <v>103.5</v>
          </cell>
          <cell r="P80">
            <v>103.5</v>
          </cell>
          <cell r="S80">
            <v>0</v>
          </cell>
          <cell r="T80">
            <v>207</v>
          </cell>
        </row>
        <row r="81">
          <cell r="F81" t="str">
            <v>-</v>
          </cell>
          <cell r="G81" t="str">
            <v>Banco de la República</v>
          </cell>
          <cell r="J81">
            <v>138.19999999999999</v>
          </cell>
          <cell r="T81">
            <v>138.19999999999999</v>
          </cell>
        </row>
        <row r="82">
          <cell r="F82" t="str">
            <v>-</v>
          </cell>
          <cell r="G82" t="str">
            <v>Resto</v>
          </cell>
          <cell r="M82">
            <v>116.5912</v>
          </cell>
          <cell r="N82">
            <v>52.738999999999997</v>
          </cell>
          <cell r="O82">
            <v>123.2788</v>
          </cell>
          <cell r="P82">
            <v>40.650000000000006</v>
          </cell>
          <cell r="Q82">
            <v>6.5</v>
          </cell>
          <cell r="R82">
            <v>17.908300000000001</v>
          </cell>
          <cell r="S82">
            <v>56.332799999999999</v>
          </cell>
          <cell r="T82">
            <v>414.00010000000003</v>
          </cell>
        </row>
        <row r="83">
          <cell r="F83" t="str">
            <v>Otros</v>
          </cell>
          <cell r="S83">
            <v>29</v>
          </cell>
          <cell r="T83">
            <v>29</v>
          </cell>
        </row>
        <row r="85">
          <cell r="D85" t="str">
            <v>3.</v>
          </cell>
          <cell r="E85" t="str">
            <v>FONDOS ESPECIALES</v>
          </cell>
          <cell r="H85">
            <v>21.992685496589797</v>
          </cell>
          <cell r="I85">
            <v>20.685563195577181</v>
          </cell>
          <cell r="J85">
            <v>21.429380914338978</v>
          </cell>
          <cell r="K85">
            <v>21.971906138491516</v>
          </cell>
          <cell r="L85">
            <v>22.418774412177434</v>
          </cell>
          <cell r="M85">
            <v>41.195794960875382</v>
          </cell>
          <cell r="N85">
            <v>24.274859026641934</v>
          </cell>
          <cell r="O85">
            <v>18.548787561453171</v>
          </cell>
          <cell r="P85">
            <v>23.397012135488989</v>
          </cell>
          <cell r="Q85">
            <v>22.702260278133863</v>
          </cell>
          <cell r="R85">
            <v>36.766403708939031</v>
          </cell>
          <cell r="S85">
            <v>42.506902418778566</v>
          </cell>
          <cell r="T85">
            <v>315.92685562426436</v>
          </cell>
        </row>
        <row r="86">
          <cell r="E86" t="str">
            <v>Contribuciones Superintendencias</v>
          </cell>
          <cell r="H86">
            <v>5.2389612080578161</v>
          </cell>
          <cell r="I86">
            <v>3.5882298622438502</v>
          </cell>
          <cell r="J86">
            <v>2.5527331725103277</v>
          </cell>
          <cell r="K86">
            <v>2.4542626614275531</v>
          </cell>
          <cell r="L86">
            <v>0</v>
          </cell>
          <cell r="M86">
            <v>18.410924219910846</v>
          </cell>
          <cell r="N86">
            <v>3.7474472511144099</v>
          </cell>
          <cell r="O86">
            <v>0</v>
          </cell>
          <cell r="P86">
            <v>0.69475185735512635</v>
          </cell>
          <cell r="Q86">
            <v>0</v>
          </cell>
          <cell r="R86">
            <v>15.28728655120527</v>
          </cell>
          <cell r="S86">
            <v>18.376689767380064</v>
          </cell>
          <cell r="T86">
            <v>68.387811927983748</v>
          </cell>
        </row>
        <row r="87">
          <cell r="E87" t="str">
            <v>-</v>
          </cell>
          <cell r="F87" t="str">
            <v>Sociedades</v>
          </cell>
          <cell r="H87">
            <v>0.27555396711937097</v>
          </cell>
          <cell r="I87">
            <v>0.4</v>
          </cell>
          <cell r="J87">
            <v>0.55110793423874205</v>
          </cell>
          <cell r="K87">
            <v>0.41057541100786299</v>
          </cell>
          <cell r="L87">
            <v>0.5</v>
          </cell>
          <cell r="M87">
            <v>0</v>
          </cell>
          <cell r="N87">
            <v>0</v>
          </cell>
          <cell r="O87">
            <v>0</v>
          </cell>
          <cell r="P87">
            <v>0</v>
          </cell>
          <cell r="Q87">
            <v>0</v>
          </cell>
          <cell r="R87">
            <v>6.0621872766261617</v>
          </cell>
          <cell r="S87">
            <v>7.7621872766261601</v>
          </cell>
          <cell r="T87">
            <v>15.961611865618298</v>
          </cell>
        </row>
        <row r="88">
          <cell r="E88" t="str">
            <v>-</v>
          </cell>
          <cell r="F88" t="str">
            <v>Contraloría</v>
          </cell>
          <cell r="H88">
            <v>2.7203020637898687</v>
          </cell>
          <cell r="I88">
            <v>1.8</v>
          </cell>
          <cell r="J88">
            <v>0.155534709193246</v>
          </cell>
          <cell r="K88">
            <v>0.155534709193246</v>
          </cell>
          <cell r="L88">
            <v>1</v>
          </cell>
          <cell r="M88">
            <v>0.9</v>
          </cell>
          <cell r="N88">
            <v>0</v>
          </cell>
          <cell r="O88">
            <v>0</v>
          </cell>
          <cell r="P88">
            <v>0</v>
          </cell>
          <cell r="Q88">
            <v>0</v>
          </cell>
          <cell r="R88">
            <v>0</v>
          </cell>
          <cell r="S88">
            <v>0.4</v>
          </cell>
          <cell r="T88">
            <v>7.1313714821763607</v>
          </cell>
        </row>
        <row r="89">
          <cell r="E89" t="str">
            <v>-</v>
          </cell>
          <cell r="F89" t="str">
            <v>Subsidio Familiar</v>
          </cell>
          <cell r="H89">
            <v>0</v>
          </cell>
          <cell r="I89">
            <v>0</v>
          </cell>
          <cell r="J89">
            <v>0</v>
          </cell>
          <cell r="K89">
            <v>0</v>
          </cell>
          <cell r="L89">
            <v>0</v>
          </cell>
          <cell r="M89">
            <v>0</v>
          </cell>
          <cell r="N89">
            <v>0</v>
          </cell>
          <cell r="O89">
            <v>0</v>
          </cell>
          <cell r="P89">
            <v>0</v>
          </cell>
          <cell r="Q89">
            <v>0</v>
          </cell>
          <cell r="R89">
            <v>1.6878571428571429</v>
          </cell>
          <cell r="S89">
            <v>2.363</v>
          </cell>
          <cell r="T89">
            <v>4.0508571428571427</v>
          </cell>
        </row>
        <row r="90">
          <cell r="E90" t="str">
            <v>-</v>
          </cell>
          <cell r="F90" t="str">
            <v>Superbancaria</v>
          </cell>
          <cell r="H90">
            <v>0</v>
          </cell>
          <cell r="I90">
            <v>0.34737592867756317</v>
          </cell>
          <cell r="J90">
            <v>0</v>
          </cell>
          <cell r="K90">
            <v>0</v>
          </cell>
          <cell r="L90">
            <v>0</v>
          </cell>
          <cell r="M90">
            <v>11.690924219910801</v>
          </cell>
          <cell r="N90">
            <v>2.7474472511144099</v>
          </cell>
          <cell r="O90">
            <v>0</v>
          </cell>
          <cell r="P90">
            <v>0.79475185735512599</v>
          </cell>
          <cell r="Q90">
            <v>0</v>
          </cell>
          <cell r="R90">
            <v>3.5225007429420496</v>
          </cell>
          <cell r="S90">
            <v>3.0225007429420496</v>
          </cell>
          <cell r="T90">
            <v>22.125500742941998</v>
          </cell>
        </row>
        <row r="91">
          <cell r="E91" t="str">
            <v>-</v>
          </cell>
          <cell r="F91" t="str">
            <v>Industria y Comercio</v>
          </cell>
          <cell r="H91">
            <v>0.39027069438995687</v>
          </cell>
          <cell r="I91">
            <v>0.4</v>
          </cell>
          <cell r="J91">
            <v>0.97567673597489202</v>
          </cell>
          <cell r="K91">
            <v>1.2664284032954101</v>
          </cell>
          <cell r="L91">
            <v>0</v>
          </cell>
          <cell r="M91">
            <v>0</v>
          </cell>
          <cell r="N91">
            <v>0</v>
          </cell>
          <cell r="O91">
            <v>0</v>
          </cell>
          <cell r="P91">
            <v>0</v>
          </cell>
          <cell r="Q91">
            <v>0</v>
          </cell>
          <cell r="R91">
            <v>0.88054138877991395</v>
          </cell>
          <cell r="S91">
            <v>4.9513534719497798</v>
          </cell>
          <cell r="T91">
            <v>8.864270694389953</v>
          </cell>
        </row>
        <row r="92">
          <cell r="E92" t="str">
            <v>-</v>
          </cell>
          <cell r="F92" t="str">
            <v>Nacional de Valores</v>
          </cell>
          <cell r="H92">
            <v>1.4797999999999998</v>
          </cell>
          <cell r="I92">
            <v>0</v>
          </cell>
          <cell r="J92">
            <v>0</v>
          </cell>
          <cell r="K92">
            <v>0</v>
          </cell>
          <cell r="L92">
            <v>0</v>
          </cell>
          <cell r="M92">
            <v>0</v>
          </cell>
          <cell r="N92">
            <v>0</v>
          </cell>
          <cell r="O92">
            <v>0</v>
          </cell>
          <cell r="P92">
            <v>0</v>
          </cell>
          <cell r="Q92">
            <v>0</v>
          </cell>
          <cell r="R92">
            <v>1.3841999999999999</v>
          </cell>
          <cell r="S92">
            <v>1.3841999999999999</v>
          </cell>
          <cell r="T92">
            <v>4.2481999999999998</v>
          </cell>
        </row>
        <row r="93">
          <cell r="E93" t="str">
            <v>-</v>
          </cell>
          <cell r="F93" t="str">
            <v>Salud</v>
          </cell>
          <cell r="H93">
            <v>0</v>
          </cell>
          <cell r="I93">
            <v>0</v>
          </cell>
          <cell r="J93">
            <v>0</v>
          </cell>
          <cell r="K93">
            <v>0</v>
          </cell>
          <cell r="L93">
            <v>0</v>
          </cell>
          <cell r="M93">
            <v>0</v>
          </cell>
          <cell r="N93">
            <v>0</v>
          </cell>
          <cell r="O93">
            <v>0</v>
          </cell>
          <cell r="P93">
            <v>0</v>
          </cell>
          <cell r="Q93">
            <v>0</v>
          </cell>
          <cell r="R93">
            <v>0</v>
          </cell>
          <cell r="S93">
            <v>0</v>
          </cell>
          <cell r="T93">
            <v>0</v>
          </cell>
        </row>
        <row r="94">
          <cell r="E94" t="str">
            <v>-</v>
          </cell>
          <cell r="F94" t="str">
            <v>Puertos</v>
          </cell>
          <cell r="H94">
            <v>0.37303448275862067</v>
          </cell>
          <cell r="I94">
            <v>0.49737931034482757</v>
          </cell>
          <cell r="J94">
            <v>0.87041379310344802</v>
          </cell>
          <cell r="K94">
            <v>0.62172413793103498</v>
          </cell>
          <cell r="L94">
            <v>0</v>
          </cell>
          <cell r="M94">
            <v>0</v>
          </cell>
          <cell r="N94">
            <v>0</v>
          </cell>
          <cell r="O94">
            <v>0</v>
          </cell>
          <cell r="P94">
            <v>0</v>
          </cell>
          <cell r="Q94">
            <v>0</v>
          </cell>
          <cell r="R94">
            <v>1.7</v>
          </cell>
          <cell r="S94">
            <v>1.9434482758620699</v>
          </cell>
          <cell r="T94">
            <v>6.0060000000000011</v>
          </cell>
        </row>
        <row r="95">
          <cell r="E95" t="str">
            <v>-</v>
          </cell>
          <cell r="F95" t="str">
            <v>Servicios Públicos Domiciliarios</v>
          </cell>
          <cell r="H95">
            <v>0</v>
          </cell>
          <cell r="I95">
            <v>0</v>
          </cell>
          <cell r="J95">
            <v>0</v>
          </cell>
          <cell r="K95">
            <v>0</v>
          </cell>
          <cell r="L95">
            <v>0</v>
          </cell>
          <cell r="M95">
            <v>0</v>
          </cell>
          <cell r="N95">
            <v>0</v>
          </cell>
          <cell r="O95">
            <v>0</v>
          </cell>
          <cell r="P95">
            <v>0</v>
          </cell>
          <cell r="Q95">
            <v>0</v>
          </cell>
          <cell r="R95">
            <v>0</v>
          </cell>
          <cell r="S95">
            <v>0</v>
          </cell>
          <cell r="T95">
            <v>0</v>
          </cell>
        </row>
        <row r="96">
          <cell r="E96" t="str">
            <v>Fondo de Defensa Nacional</v>
          </cell>
          <cell r="H96">
            <v>0</v>
          </cell>
          <cell r="I96">
            <v>0</v>
          </cell>
          <cell r="J96">
            <v>2.0767363583403453</v>
          </cell>
          <cell r="K96">
            <v>0</v>
          </cell>
          <cell r="L96">
            <v>2.1445764127127966</v>
          </cell>
          <cell r="M96">
            <v>3.4612272639005761</v>
          </cell>
          <cell r="N96">
            <v>2.0767363583403453</v>
          </cell>
          <cell r="O96">
            <v>0</v>
          </cell>
          <cell r="P96">
            <v>4.1534727166806906</v>
          </cell>
          <cell r="Q96">
            <v>4.1534727166806906</v>
          </cell>
          <cell r="R96">
            <v>3.3227781733445529</v>
          </cell>
          <cell r="S96">
            <v>1.1227781733445497</v>
          </cell>
          <cell r="T96">
            <v>22.511778173344545</v>
          </cell>
        </row>
        <row r="97">
          <cell r="E97" t="str">
            <v>Fondo de Estupefacientes</v>
          </cell>
          <cell r="H97">
            <v>0.1962242885319809</v>
          </cell>
          <cell r="I97">
            <v>0.1</v>
          </cell>
          <cell r="J97">
            <v>0.34241138348830702</v>
          </cell>
          <cell r="K97">
            <v>0.3924485770639618</v>
          </cell>
          <cell r="L97">
            <v>0.29433643279797134</v>
          </cell>
          <cell r="M97">
            <v>0.3924485770639618</v>
          </cell>
          <cell r="N97">
            <v>0.29433643279797134</v>
          </cell>
          <cell r="O97">
            <v>0.3924485770639618</v>
          </cell>
          <cell r="P97">
            <v>0.3924485770639618</v>
          </cell>
          <cell r="Q97">
            <v>0.3924485770639618</v>
          </cell>
          <cell r="R97">
            <v>0</v>
          </cell>
          <cell r="S97">
            <v>0.2</v>
          </cell>
          <cell r="T97">
            <v>3.3895514229360399</v>
          </cell>
        </row>
        <row r="98">
          <cell r="E98" t="str">
            <v>Fondo Rotatorio de Minas y Energía</v>
          </cell>
          <cell r="H98">
            <v>0</v>
          </cell>
          <cell r="I98">
            <v>0.49733333333333329</v>
          </cell>
          <cell r="J98">
            <v>0</v>
          </cell>
          <cell r="K98">
            <v>0</v>
          </cell>
          <cell r="L98">
            <v>0.74866666666666704</v>
          </cell>
          <cell r="M98">
            <v>0</v>
          </cell>
          <cell r="N98">
            <v>0</v>
          </cell>
          <cell r="O98">
            <v>0</v>
          </cell>
          <cell r="P98">
            <v>0</v>
          </cell>
          <cell r="Q98">
            <v>0</v>
          </cell>
          <cell r="R98">
            <v>0</v>
          </cell>
          <cell r="S98">
            <v>0.6</v>
          </cell>
          <cell r="T98">
            <v>1.8460000000000005</v>
          </cell>
        </row>
        <row r="99">
          <cell r="E99" t="str">
            <v>Fondo de Bienestar Social Dian</v>
          </cell>
          <cell r="H99">
            <v>0</v>
          </cell>
          <cell r="I99">
            <v>0</v>
          </cell>
          <cell r="J99">
            <v>0</v>
          </cell>
          <cell r="K99">
            <v>0</v>
          </cell>
          <cell r="L99">
            <v>0</v>
          </cell>
          <cell r="M99">
            <v>0</v>
          </cell>
          <cell r="N99">
            <v>0</v>
          </cell>
          <cell r="O99">
            <v>0</v>
          </cell>
          <cell r="P99">
            <v>0</v>
          </cell>
          <cell r="Q99">
            <v>0</v>
          </cell>
          <cell r="R99">
            <v>0</v>
          </cell>
          <cell r="S99">
            <v>0</v>
          </cell>
          <cell r="T99">
            <v>0</v>
          </cell>
        </row>
        <row r="100">
          <cell r="E100" t="str">
            <v>Financiación Sector Justicia</v>
          </cell>
          <cell r="H100">
            <v>2</v>
          </cell>
          <cell r="I100">
            <v>1.9</v>
          </cell>
          <cell r="J100">
            <v>1.9</v>
          </cell>
          <cell r="K100">
            <v>1.7</v>
          </cell>
          <cell r="L100">
            <v>2.15</v>
          </cell>
          <cell r="M100">
            <v>1.85</v>
          </cell>
          <cell r="N100">
            <v>8.5496599999999994</v>
          </cell>
          <cell r="O100">
            <v>8.5496599999999994</v>
          </cell>
          <cell r="P100">
            <v>8.5496599999999994</v>
          </cell>
          <cell r="Q100">
            <v>8.5496599999999994</v>
          </cell>
          <cell r="R100">
            <v>8.5496599999999994</v>
          </cell>
          <cell r="S100">
            <v>11.44966</v>
          </cell>
          <cell r="T100">
            <v>65.697959999999995</v>
          </cell>
        </row>
        <row r="101">
          <cell r="E101" t="str">
            <v>Contribución para la Descentralización</v>
          </cell>
          <cell r="H101">
            <v>14.557499999999999</v>
          </cell>
          <cell r="I101">
            <v>14.6</v>
          </cell>
          <cell r="J101">
            <v>14.557499999999999</v>
          </cell>
          <cell r="K101">
            <v>17.425194900000001</v>
          </cell>
          <cell r="L101">
            <v>17.0811949</v>
          </cell>
          <cell r="M101">
            <v>17.0811949</v>
          </cell>
          <cell r="N101">
            <v>9.6066789843892106</v>
          </cell>
          <cell r="O101">
            <v>9.6066789843892106</v>
          </cell>
          <cell r="P101">
            <v>9.6066789843892106</v>
          </cell>
          <cell r="Q101">
            <v>9.6066789843892106</v>
          </cell>
          <cell r="R101">
            <v>9.6066789843892106</v>
          </cell>
          <cell r="S101">
            <v>10.757774478053955</v>
          </cell>
          <cell r="T101">
            <v>154.09375410000001</v>
          </cell>
        </row>
        <row r="102">
          <cell r="E102" t="str">
            <v>Comisión Regulación Energía y Gas</v>
          </cell>
          <cell r="H102">
            <v>0</v>
          </cell>
          <cell r="I102">
            <v>0</v>
          </cell>
          <cell r="J102">
            <v>0</v>
          </cell>
          <cell r="K102">
            <v>0</v>
          </cell>
          <cell r="L102">
            <v>0</v>
          </cell>
          <cell r="M102">
            <v>0</v>
          </cell>
          <cell r="N102">
            <v>0</v>
          </cell>
          <cell r="O102">
            <v>0</v>
          </cell>
          <cell r="P102">
            <v>0</v>
          </cell>
          <cell r="Q102">
            <v>0</v>
          </cell>
          <cell r="R102">
            <v>0</v>
          </cell>
          <cell r="S102">
            <v>0</v>
          </cell>
          <cell r="T102">
            <v>0</v>
          </cell>
        </row>
        <row r="103">
          <cell r="E103" t="str">
            <v>Comisión Regulación Agua Potable</v>
          </cell>
          <cell r="H103">
            <v>0</v>
          </cell>
          <cell r="I103">
            <v>0</v>
          </cell>
          <cell r="J103">
            <v>0</v>
          </cell>
          <cell r="K103">
            <v>0</v>
          </cell>
          <cell r="L103">
            <v>0</v>
          </cell>
          <cell r="M103">
            <v>0</v>
          </cell>
          <cell r="N103">
            <v>0</v>
          </cell>
          <cell r="O103">
            <v>0</v>
          </cell>
          <cell r="P103">
            <v>0</v>
          </cell>
          <cell r="Q103">
            <v>0</v>
          </cell>
          <cell r="R103">
            <v>0</v>
          </cell>
          <cell r="S103">
            <v>0</v>
          </cell>
          <cell r="T103">
            <v>0</v>
          </cell>
        </row>
        <row r="104">
          <cell r="E104" t="str">
            <v>Comisión Regulación Telecomunicaciones</v>
          </cell>
          <cell r="H104">
            <v>0</v>
          </cell>
          <cell r="I104">
            <v>0</v>
          </cell>
          <cell r="J104">
            <v>0</v>
          </cell>
          <cell r="K104">
            <v>0</v>
          </cell>
          <cell r="L104">
            <v>0</v>
          </cell>
          <cell r="M104">
            <v>0</v>
          </cell>
          <cell r="N104">
            <v>0</v>
          </cell>
          <cell r="O104">
            <v>0</v>
          </cell>
          <cell r="P104">
            <v>0</v>
          </cell>
          <cell r="Q104">
            <v>0</v>
          </cell>
          <cell r="R104">
            <v>0</v>
          </cell>
          <cell r="S104">
            <v>0</v>
          </cell>
          <cell r="T104">
            <v>0</v>
          </cell>
        </row>
        <row r="105">
          <cell r="E105" t="str">
            <v>Unidad Minero-Energética</v>
          </cell>
          <cell r="H105">
            <v>0</v>
          </cell>
          <cell r="I105">
            <v>0</v>
          </cell>
          <cell r="J105">
            <v>0</v>
          </cell>
          <cell r="K105">
            <v>0</v>
          </cell>
          <cell r="L105">
            <v>0</v>
          </cell>
          <cell r="M105">
            <v>0</v>
          </cell>
          <cell r="N105">
            <v>0</v>
          </cell>
          <cell r="O105">
            <v>0</v>
          </cell>
          <cell r="P105">
            <v>0</v>
          </cell>
          <cell r="Q105">
            <v>0</v>
          </cell>
          <cell r="R105">
            <v>0</v>
          </cell>
          <cell r="S105">
            <v>0</v>
          </cell>
          <cell r="T105">
            <v>0</v>
          </cell>
        </row>
        <row r="106">
          <cell r="E106" t="str">
            <v>Compensación Canales Radioelétricos</v>
          </cell>
          <cell r="H106">
            <v>0</v>
          </cell>
          <cell r="I106">
            <v>0</v>
          </cell>
          <cell r="J106">
            <v>0</v>
          </cell>
          <cell r="K106">
            <v>0</v>
          </cell>
          <cell r="L106">
            <v>0</v>
          </cell>
          <cell r="M106">
            <v>0</v>
          </cell>
          <cell r="N106">
            <v>0</v>
          </cell>
          <cell r="O106">
            <v>0</v>
          </cell>
          <cell r="P106">
            <v>0</v>
          </cell>
          <cell r="Q106">
            <v>0</v>
          </cell>
          <cell r="R106">
            <v>0</v>
          </cell>
          <cell r="S106">
            <v>0</v>
          </cell>
          <cell r="T106">
            <v>0</v>
          </cell>
        </row>
        <row r="107">
          <cell r="E107" t="str">
            <v>Otros</v>
          </cell>
          <cell r="H107">
            <v>0</v>
          </cell>
          <cell r="I107">
            <v>0</v>
          </cell>
          <cell r="J107">
            <v>0</v>
          </cell>
          <cell r="K107">
            <v>0</v>
          </cell>
          <cell r="L107">
            <v>0</v>
          </cell>
          <cell r="M107">
            <v>0</v>
          </cell>
          <cell r="N107">
            <v>0</v>
          </cell>
          <cell r="O107">
            <v>0</v>
          </cell>
          <cell r="P107">
            <v>0</v>
          </cell>
          <cell r="Q107">
            <v>0</v>
          </cell>
          <cell r="R107">
            <v>0</v>
          </cell>
          <cell r="S107">
            <v>0</v>
          </cell>
          <cell r="T107">
            <v>0</v>
          </cell>
        </row>
        <row r="109">
          <cell r="D109" t="str">
            <v>4.</v>
          </cell>
          <cell r="E109" t="str">
            <v>INGRESOS POR DISTRIBUIR</v>
          </cell>
          <cell r="H109">
            <v>5.6520978946527904</v>
          </cell>
          <cell r="I109">
            <v>15.4147884272444</v>
          </cell>
          <cell r="J109">
            <v>11.2844003974697</v>
          </cell>
          <cell r="K109">
            <v>2.6923314382546799</v>
          </cell>
          <cell r="L109">
            <v>9.684751595645599</v>
          </cell>
          <cell r="M109">
            <v>12.567473159424969</v>
          </cell>
          <cell r="N109">
            <v>6.8334139344049625</v>
          </cell>
          <cell r="O109">
            <v>14.800599136654286</v>
          </cell>
          <cell r="P109">
            <v>6.8388235676887454</v>
          </cell>
          <cell r="Q109">
            <v>13.633625146306517</v>
          </cell>
          <cell r="R109">
            <v>4.9314737857612929</v>
          </cell>
          <cell r="S109">
            <v>15.794591269759209</v>
          </cell>
          <cell r="T109">
            <v>120.12836975326715</v>
          </cell>
        </row>
        <row r="111">
          <cell r="C111" t="str">
            <v>confis</v>
          </cell>
          <cell r="H111">
            <v>35845.782996527778</v>
          </cell>
          <cell r="S111" t="str">
            <v>c:\ingres97.xls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ific"/>
      <sheetName val="RESUMENV"/>
      <sheetName val="VIGP"/>
      <sheetName val="VIGN"/>
      <sheetName val="RESUMENCXP"/>
      <sheetName val="PROPIOSCXP"/>
      <sheetName val="NACIONCXP"/>
      <sheetName val="RESUMENR"/>
      <sheetName val="PROPIOSR"/>
      <sheetName val="NACION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DE GASOLINA"/>
      <sheetName val="MODELO DE TRANSF.IMPUESTOS"/>
      <sheetName val="SUPUESTOS BASICOS"/>
      <sheetName val="OPE DOLARES"/>
      <sheetName val="OPE PESOS"/>
      <sheetName val="OPE TOTALES"/>
      <sheetName val="Supuestos Macro"/>
      <sheetName val="Volumenes"/>
      <sheetName val="Precios"/>
      <sheetName val="OPEC Pesos y US$"/>
      <sheetName val="OPEC Pesos + US$"/>
      <sheetName val="Consolidado Diego"/>
      <sheetName val="CAJA MENSUAL PESOS"/>
      <sheetName val="CAJA MENSUAL DOLARES"/>
      <sheetName val="OPE CAJA PESOS"/>
      <sheetName val="OPE CAJA DOLARES"/>
      <sheetName val="OPE CAJA TOTAL"/>
      <sheetName val="FINANCIAMIENTO "/>
      <sheetName val="CONSOLIDADO"/>
      <sheetName val="RESUMENES"/>
      <sheetName val="INVERSIONES "/>
      <sheetName val="MODELO DE REGALÍAS"/>
    </sheetNames>
    <sheetDataSet>
      <sheetData sheetId="0" refreshError="1">
        <row r="8">
          <cell r="A8" t="str">
            <v>GASOLINA REGULAR</v>
          </cell>
          <cell r="B8" t="str">
            <v>Precio Público</v>
          </cell>
          <cell r="C8" t="str">
            <v>Incremento</v>
          </cell>
          <cell r="D8" t="str">
            <v>Imp. a la Gasolina</v>
          </cell>
          <cell r="E8" t="str">
            <v>IVA</v>
          </cell>
          <cell r="F8" t="str">
            <v>Contri.Desc.</v>
          </cell>
          <cell r="G8" t="str">
            <v>Subs.Gasolina</v>
          </cell>
          <cell r="H8" t="str">
            <v>Imp.Consumo</v>
          </cell>
          <cell r="I8" t="str">
            <v>Aditivación</v>
          </cell>
          <cell r="J8" t="str">
            <v>Margen Mayorista</v>
          </cell>
          <cell r="K8" t="str">
            <v>Margen Minorista</v>
          </cell>
          <cell r="L8" t="str">
            <v>Perd.Evap.Man.Trans.</v>
          </cell>
          <cell r="M8" t="str">
            <v>Transp. Planta/Estación</v>
          </cell>
          <cell r="N8" t="str">
            <v>Transp. y Manejo</v>
          </cell>
          <cell r="O8" t="str">
            <v>Precio Refinería</v>
          </cell>
          <cell r="P8" t="str">
            <v>Ingreso ECP</v>
          </cell>
        </row>
        <row r="9">
          <cell r="A9">
            <v>35065</v>
          </cell>
          <cell r="B9">
            <v>812</v>
          </cell>
          <cell r="C9">
            <v>0</v>
          </cell>
          <cell r="D9">
            <v>168.87</v>
          </cell>
          <cell r="E9">
            <v>68.41</v>
          </cell>
          <cell r="F9">
            <v>83</v>
          </cell>
          <cell r="G9">
            <v>1.46</v>
          </cell>
          <cell r="H9">
            <v>1.62</v>
          </cell>
          <cell r="I9">
            <v>9.8000000000000007</v>
          </cell>
          <cell r="J9">
            <v>19.510000000000002</v>
          </cell>
          <cell r="K9">
            <v>35.18</v>
          </cell>
          <cell r="L9">
            <v>3.07</v>
          </cell>
          <cell r="M9">
            <v>6</v>
          </cell>
          <cell r="N9">
            <v>70</v>
          </cell>
          <cell r="O9">
            <v>345.08000000000004</v>
          </cell>
          <cell r="P9">
            <v>415.08000000000004</v>
          </cell>
        </row>
        <row r="10">
          <cell r="A10">
            <v>35096</v>
          </cell>
          <cell r="B10">
            <v>812</v>
          </cell>
          <cell r="C10">
            <v>0</v>
          </cell>
          <cell r="D10">
            <v>168.87</v>
          </cell>
          <cell r="E10">
            <v>68.41</v>
          </cell>
          <cell r="F10">
            <v>83</v>
          </cell>
          <cell r="G10">
            <v>1.46</v>
          </cell>
          <cell r="H10">
            <v>1.62</v>
          </cell>
          <cell r="I10">
            <v>9.8000000000000007</v>
          </cell>
          <cell r="J10">
            <v>19.510000000000002</v>
          </cell>
          <cell r="K10">
            <v>35.18</v>
          </cell>
          <cell r="L10">
            <v>3.07</v>
          </cell>
          <cell r="M10">
            <v>6</v>
          </cell>
          <cell r="N10">
            <v>70</v>
          </cell>
          <cell r="O10">
            <v>345.08000000000004</v>
          </cell>
          <cell r="P10">
            <v>415.08000000000004</v>
          </cell>
        </row>
        <row r="11">
          <cell r="A11">
            <v>35125</v>
          </cell>
          <cell r="B11">
            <v>909.03399999999999</v>
          </cell>
          <cell r="C11">
            <v>0.1195</v>
          </cell>
          <cell r="D11">
            <v>330</v>
          </cell>
          <cell r="E11">
            <v>58.52</v>
          </cell>
          <cell r="I11">
            <v>9.8000000000000007</v>
          </cell>
          <cell r="J11">
            <v>23.06</v>
          </cell>
          <cell r="K11">
            <v>41.41</v>
          </cell>
          <cell r="L11">
            <v>3.43</v>
          </cell>
          <cell r="M11">
            <v>7</v>
          </cell>
          <cell r="N11">
            <v>70</v>
          </cell>
          <cell r="O11">
            <v>365.81400000000019</v>
          </cell>
          <cell r="P11">
            <v>435.81400000000019</v>
          </cell>
        </row>
        <row r="12">
          <cell r="A12">
            <v>35156</v>
          </cell>
          <cell r="B12">
            <v>909.03399999999999</v>
          </cell>
          <cell r="C12">
            <v>0</v>
          </cell>
          <cell r="D12">
            <v>330</v>
          </cell>
          <cell r="E12">
            <v>58.52</v>
          </cell>
          <cell r="I12">
            <v>9.8000000000000007</v>
          </cell>
          <cell r="J12">
            <v>23.06</v>
          </cell>
          <cell r="K12">
            <v>41.41</v>
          </cell>
          <cell r="L12">
            <v>3.43</v>
          </cell>
          <cell r="M12">
            <v>7</v>
          </cell>
          <cell r="N12">
            <v>70</v>
          </cell>
          <cell r="O12">
            <v>365.81400000000019</v>
          </cell>
          <cell r="P12">
            <v>435.81400000000019</v>
          </cell>
        </row>
        <row r="13">
          <cell r="A13">
            <v>35186</v>
          </cell>
          <cell r="B13">
            <v>909.03399999999999</v>
          </cell>
          <cell r="C13">
            <v>0</v>
          </cell>
          <cell r="D13">
            <v>330</v>
          </cell>
          <cell r="E13">
            <v>58.52</v>
          </cell>
          <cell r="I13">
            <v>9.8000000000000007</v>
          </cell>
          <cell r="J13">
            <v>23.06</v>
          </cell>
          <cell r="K13">
            <v>41.41</v>
          </cell>
          <cell r="L13">
            <v>3.43</v>
          </cell>
          <cell r="M13">
            <v>7</v>
          </cell>
          <cell r="N13">
            <v>70</v>
          </cell>
          <cell r="O13">
            <v>365.81400000000019</v>
          </cell>
          <cell r="P13">
            <v>435.81400000000019</v>
          </cell>
        </row>
        <row r="14">
          <cell r="A14">
            <v>35217</v>
          </cell>
          <cell r="B14">
            <v>909.03399999999999</v>
          </cell>
          <cell r="C14">
            <v>0</v>
          </cell>
          <cell r="D14">
            <v>330</v>
          </cell>
          <cell r="E14">
            <v>58.52</v>
          </cell>
          <cell r="I14">
            <v>9.8000000000000007</v>
          </cell>
          <cell r="J14">
            <v>23.06</v>
          </cell>
          <cell r="K14">
            <v>41.41</v>
          </cell>
          <cell r="L14">
            <v>3.43</v>
          </cell>
          <cell r="M14">
            <v>7</v>
          </cell>
          <cell r="N14">
            <v>70</v>
          </cell>
          <cell r="O14">
            <v>365.81400000000019</v>
          </cell>
          <cell r="P14">
            <v>435.81400000000019</v>
          </cell>
        </row>
        <row r="15">
          <cell r="A15">
            <v>35247</v>
          </cell>
          <cell r="B15">
            <v>954.94021699999996</v>
          </cell>
          <cell r="C15">
            <v>5.0500000000000017E-2</v>
          </cell>
          <cell r="D15">
            <v>330</v>
          </cell>
          <cell r="E15">
            <v>62.906236827586227</v>
          </cell>
          <cell r="I15">
            <v>9.8000000000000007</v>
          </cell>
          <cell r="J15">
            <v>23.43</v>
          </cell>
          <cell r="K15">
            <v>42.03</v>
          </cell>
          <cell r="L15">
            <v>3.61</v>
          </cell>
          <cell r="M15">
            <v>7</v>
          </cell>
          <cell r="N15">
            <v>83</v>
          </cell>
          <cell r="O15">
            <v>393.16398017241386</v>
          </cell>
          <cell r="P15">
            <v>476.16398017241386</v>
          </cell>
        </row>
        <row r="16">
          <cell r="A16">
            <v>35278</v>
          </cell>
          <cell r="B16">
            <v>954.94021699999996</v>
          </cell>
          <cell r="C16">
            <v>0</v>
          </cell>
          <cell r="D16">
            <v>330</v>
          </cell>
          <cell r="E16">
            <v>62.906236827586227</v>
          </cell>
          <cell r="I16">
            <v>9.8000000000000007</v>
          </cell>
          <cell r="J16">
            <v>23.43</v>
          </cell>
          <cell r="K16">
            <v>42.03</v>
          </cell>
          <cell r="L16">
            <v>3.61</v>
          </cell>
          <cell r="M16">
            <v>7</v>
          </cell>
          <cell r="N16">
            <v>83</v>
          </cell>
          <cell r="O16">
            <v>393.16398017241386</v>
          </cell>
          <cell r="P16">
            <v>476.16398017241386</v>
          </cell>
        </row>
        <row r="17">
          <cell r="A17">
            <v>35309</v>
          </cell>
          <cell r="B17">
            <v>954.94021699999996</v>
          </cell>
          <cell r="C17">
            <v>0</v>
          </cell>
          <cell r="D17">
            <v>330</v>
          </cell>
          <cell r="E17">
            <v>62.906236827586227</v>
          </cell>
          <cell r="I17">
            <v>9.8000000000000007</v>
          </cell>
          <cell r="J17">
            <v>23.43</v>
          </cell>
          <cell r="K17">
            <v>42.03</v>
          </cell>
          <cell r="L17">
            <v>3.61</v>
          </cell>
          <cell r="M17">
            <v>7</v>
          </cell>
          <cell r="N17">
            <v>83</v>
          </cell>
          <cell r="O17">
            <v>393.16398017241386</v>
          </cell>
          <cell r="P17">
            <v>476.16398017241386</v>
          </cell>
        </row>
        <row r="18">
          <cell r="A18">
            <v>35339</v>
          </cell>
          <cell r="B18">
            <v>954.94021699999996</v>
          </cell>
          <cell r="C18">
            <v>0</v>
          </cell>
          <cell r="D18">
            <v>330</v>
          </cell>
          <cell r="E18">
            <v>62.906236827586227</v>
          </cell>
          <cell r="I18">
            <v>9.8000000000000007</v>
          </cell>
          <cell r="J18">
            <v>23.43</v>
          </cell>
          <cell r="K18">
            <v>42.03</v>
          </cell>
          <cell r="L18">
            <v>3.61</v>
          </cell>
          <cell r="M18">
            <v>7</v>
          </cell>
          <cell r="N18">
            <v>83</v>
          </cell>
          <cell r="O18">
            <v>393.16398017241386</v>
          </cell>
          <cell r="P18">
            <v>476.16398017241386</v>
          </cell>
        </row>
        <row r="19">
          <cell r="A19">
            <v>35370</v>
          </cell>
          <cell r="B19">
            <v>954.94021699999996</v>
          </cell>
          <cell r="C19">
            <v>0</v>
          </cell>
          <cell r="D19">
            <v>330</v>
          </cell>
          <cell r="E19">
            <v>62.906236827586227</v>
          </cell>
          <cell r="I19">
            <v>9.8000000000000007</v>
          </cell>
          <cell r="J19">
            <v>23.43</v>
          </cell>
          <cell r="K19">
            <v>42.03</v>
          </cell>
          <cell r="L19">
            <v>3.61</v>
          </cell>
          <cell r="M19">
            <v>7</v>
          </cell>
          <cell r="N19">
            <v>83</v>
          </cell>
          <cell r="O19">
            <v>393.16398017241386</v>
          </cell>
          <cell r="P19">
            <v>476.16398017241386</v>
          </cell>
        </row>
        <row r="20">
          <cell r="A20">
            <v>35400</v>
          </cell>
          <cell r="B20">
            <v>954.94021699999996</v>
          </cell>
          <cell r="C20">
            <v>0</v>
          </cell>
          <cell r="D20">
            <v>330</v>
          </cell>
          <cell r="E20">
            <v>62.906236827586227</v>
          </cell>
          <cell r="I20">
            <v>9.8000000000000007</v>
          </cell>
          <cell r="J20">
            <v>23.43</v>
          </cell>
          <cell r="K20">
            <v>42.03</v>
          </cell>
          <cell r="L20">
            <v>3.61</v>
          </cell>
          <cell r="M20">
            <v>7</v>
          </cell>
          <cell r="N20">
            <v>83</v>
          </cell>
          <cell r="O20">
            <v>393.16398017241386</v>
          </cell>
          <cell r="P20">
            <v>476.16398017241386</v>
          </cell>
        </row>
        <row r="21">
          <cell r="A21" t="str">
            <v>Total</v>
          </cell>
          <cell r="C21">
            <v>0.17</v>
          </cell>
        </row>
        <row r="22">
          <cell r="A22" t="str">
            <v>Promedio</v>
          </cell>
          <cell r="B22">
            <v>916.20532220765017</v>
          </cell>
          <cell r="D22">
            <v>317.49166666666667</v>
          </cell>
          <cell r="E22">
            <v>62.361451747126445</v>
          </cell>
          <cell r="I22">
            <v>9.8000000000000007</v>
          </cell>
          <cell r="J22">
            <v>22.653333333333332</v>
          </cell>
          <cell r="K22">
            <v>40.681666666666665</v>
          </cell>
          <cell r="L22">
            <v>3.4599999999999995</v>
          </cell>
          <cell r="M22">
            <v>6.833333333333333</v>
          </cell>
          <cell r="N22">
            <v>76.5</v>
          </cell>
          <cell r="O22">
            <v>376.0333234195403</v>
          </cell>
          <cell r="P22">
            <v>452.70021954023002</v>
          </cell>
        </row>
        <row r="23">
          <cell r="A23" t="str">
            <v>Crecimiento Ene-Dic</v>
          </cell>
          <cell r="B23">
            <v>0.17603474999999991</v>
          </cell>
          <cell r="D23">
            <v>0.29437144538144722</v>
          </cell>
          <cell r="E23">
            <v>-8.04526117879516E-2</v>
          </cell>
          <cell r="I23">
            <v>0</v>
          </cell>
          <cell r="J23">
            <v>0.20092260379292659</v>
          </cell>
          <cell r="K23">
            <v>0.19471290505969296</v>
          </cell>
          <cell r="L23">
            <v>0.17589576547231278</v>
          </cell>
          <cell r="M23">
            <v>0.16666666666666674</v>
          </cell>
          <cell r="N23">
            <v>0.18571428571428572</v>
          </cell>
          <cell r="O23">
            <v>0.1393415444894337</v>
          </cell>
          <cell r="P23">
            <v>0.14716194510073666</v>
          </cell>
        </row>
        <row r="24">
          <cell r="A24" t="str">
            <v>Difer.con inflación</v>
          </cell>
          <cell r="B24">
            <v>6.0347499999998944E-3</v>
          </cell>
          <cell r="D24">
            <v>0.1243714453814472</v>
          </cell>
          <cell r="E24">
            <v>-0.25045261178795164</v>
          </cell>
          <cell r="I24">
            <v>-0.17</v>
          </cell>
          <cell r="J24">
            <v>3.0922603792926578E-2</v>
          </cell>
          <cell r="K24">
            <v>2.4712905059692952E-2</v>
          </cell>
          <cell r="L24">
            <v>5.8957654723127695E-3</v>
          </cell>
          <cell r="M24">
            <v>-3.3333333333332715E-3</v>
          </cell>
          <cell r="N24">
            <v>1.5714285714285708E-2</v>
          </cell>
          <cell r="O24">
            <v>-3.0658455510566313E-2</v>
          </cell>
          <cell r="P24">
            <v>-2.2838054899263355E-2</v>
          </cell>
        </row>
        <row r="25">
          <cell r="A25" t="str">
            <v>Inflación</v>
          </cell>
          <cell r="B25">
            <v>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 4"/>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TRANSF"/>
      <sheetName val="LIQUI_TRANSF"/>
    </sheetNames>
    <sheetDataSet>
      <sheetData sheetId="0" refreshError="1"/>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DIST"/>
      <sheetName val="DISTRIBVTAS"/>
      <sheetName val="Datos"/>
      <sheetName val="PROVYOTF"/>
      <sheetName val="MFISICA"/>
      <sheetName val="Inv"/>
      <sheetName val="O&amp;A"/>
    </sheetNames>
    <sheetDataSet>
      <sheetData sheetId="0" refreshError="1"/>
      <sheetData sheetId="1" refreshError="1"/>
      <sheetData sheetId="2" refreshError="1">
        <row r="34">
          <cell r="F34" t="str">
            <v>Enero 01 - Marzo 30</v>
          </cell>
        </row>
      </sheetData>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7"/>
      <sheetName val="GPT"/>
      <sheetName val="GPN"/>
      <sheetName val="GPP"/>
      <sheetName val="GGT"/>
      <sheetName val="GGN"/>
      <sheetName val="GGP"/>
      <sheetName val="CUA1-3"/>
      <sheetName val="PLANOJUL13"/>
      <sheetName val="CUA1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1"/>
      <sheetName val="2"/>
      <sheetName val="3"/>
      <sheetName val="Cuadros Grales"/>
      <sheetName val="Base"/>
      <sheetName val="Pob"/>
      <sheetName val="Pob afro"/>
      <sheetName val="Pobla"/>
      <sheetName val="Matrícula"/>
      <sheetName val="Mat afro"/>
      <sheetName val="Matric"/>
      <sheetName val="Icfes afro"/>
      <sheetName val="Icfes oficial 03 afro"/>
      <sheetName val="Acu y Alc"/>
      <sheetName val="Acu y Alc Afro"/>
      <sheetName val="AcyAl"/>
      <sheetName val="Salud Afro 1"/>
      <sheetName val="Sal Afro 2"/>
      <sheetName val="Sal"/>
      <sheetName val="Sal1"/>
      <sheetName val="TD Sal"/>
      <sheetName val="Salidas"/>
      <sheetName val="Gráfico1"/>
      <sheetName val="Gráfico2"/>
      <sheetName val="Gráfico3"/>
      <sheetName val="Gráfico4"/>
      <sheetName val="Gráfico5"/>
      <sheetName val="Gráfico6"/>
      <sheetName val="Gráfico7"/>
      <sheetName val="Gráfico8"/>
      <sheetName val="Gráfico9"/>
      <sheetName val="Gráfico10"/>
      <sheetName val="Gráfico11"/>
      <sheetName val="Gráfico12"/>
      <sheetName val="Gráfico13"/>
      <sheetName val="Gráfico14"/>
      <sheetName val="Gráfico15"/>
      <sheetName val="Gráfico16"/>
      <sheetName val="Gráfico17"/>
      <sheetName val="Gráfico18"/>
      <sheetName val="Dat Sal"/>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_2_1"/>
      <sheetName val="D_2_2"/>
      <sheetName val="D_2_2_1"/>
      <sheetName val="D3"/>
      <sheetName val="D4"/>
      <sheetName val="D5"/>
      <sheetName val="D6"/>
      <sheetName val="D6_1"/>
      <sheetName val="D6_2"/>
      <sheetName val="D7_Icfes 02"/>
      <sheetName val="D7_1"/>
      <sheetName val="D8"/>
      <sheetName val="D8_1"/>
      <sheetName val="D9_Saber 97-99"/>
      <sheetName val="D10"/>
      <sheetName val="Cober Bruta 96-01 "/>
      <sheetName val="Posición Colegios Icfes"/>
      <sheetName val="Salud "/>
      <sheetName val="Educa 94-01 miles const (2001)"/>
      <sheetName val="Educa 94-02 miles const (2002)"/>
      <sheetName val="Educa 94-01 miles corrientes"/>
      <sheetName val="matricula 94-02 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ow r="2">
          <cell r="M2">
            <v>0.37582719489197253</v>
          </cell>
          <cell r="N2">
            <v>0.4466742187644912</v>
          </cell>
          <cell r="O2">
            <v>0.52202091794207206</v>
          </cell>
          <cell r="P2">
            <v>0.60992847280641138</v>
          </cell>
        </row>
      </sheetData>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00"/>
      <sheetName val="Pagos00"/>
      <sheetName val="Financiamiento00"/>
      <sheetName val="opetesorer"/>
      <sheetName val="CAIDAINGRESOS"/>
      <sheetName val="caidaTRAS.TERRIT"/>
      <sheetName val="inversion"/>
      <sheetName val="variacionapropiacion"/>
      <sheetName val="METAPAGOS.REZAGO(sincambio)"/>
      <sheetName val="REZAGO CON Y SIN ESPACIO"/>
      <sheetName val="REZAGO CON ESPACIO FISCAL(FMI)"/>
      <sheetName val="REZAGO CON ESPACIO FISCAL(F (2)"/>
      <sheetName val="REZAGO CON ESPACIO FISCAL (2)"/>
      <sheetName val="REZAGO CON ESPACIO FISCAL 4813"/>
      <sheetName val="REZAGO CON ESPACIO FISCAL M-25"/>
      <sheetName val="ESCENA(CON ESPACIO)"/>
      <sheetName val="ESCENA(CON Y SIN ESPACIO)"/>
      <sheetName val="ESCENARIOS(BASICO)"/>
      <sheetName val="DETALLE-DEUDA"/>
      <sheetName val="ESCENARIOS(BASICO) (2)"/>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7"/>
      <sheetName val="GPT"/>
      <sheetName val="GPN"/>
      <sheetName val="GPP"/>
      <sheetName val="GGT"/>
      <sheetName val="GGN"/>
      <sheetName val="GGP"/>
      <sheetName val="CUA1-3"/>
      <sheetName val="PLANOJUL13"/>
      <sheetName val="CUA1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OFMI"/>
      <sheetName val="PAGOS VIGENCIA t"/>
      <sheetName val="PAGORES"/>
    </sheetNames>
    <sheetDataSet>
      <sheetData sheetId="0" refreshError="1">
        <row r="1">
          <cell r="A1" t="str">
            <v>PAGOS POR NUMERALES CON RECURSOS NACION</v>
          </cell>
          <cell r="P1" t="str">
            <v>PAGOS POR NUMERALES CON RECURSOS NACION</v>
          </cell>
        </row>
        <row r="2">
          <cell r="A2" t="str">
            <v>Clasificación FMI</v>
          </cell>
          <cell r="P2" t="str">
            <v>Clasificación FMI</v>
          </cell>
        </row>
        <row r="3">
          <cell r="A3" t="str">
            <v>Millones de pesos</v>
          </cell>
          <cell r="P3" t="str">
            <v>Participación porcentual en el PIB</v>
          </cell>
        </row>
        <row r="6">
          <cell r="A6" t="str">
            <v>CONCEPTOS</v>
          </cell>
          <cell r="D6" t="str">
            <v>1990</v>
          </cell>
          <cell r="E6" t="str">
            <v>1991</v>
          </cell>
          <cell r="F6" t="str">
            <v>1992</v>
          </cell>
          <cell r="G6" t="str">
            <v>1993</v>
          </cell>
          <cell r="H6" t="str">
            <v>1994</v>
          </cell>
          <cell r="I6" t="str">
            <v>1995</v>
          </cell>
          <cell r="J6" t="str">
            <v>1996</v>
          </cell>
          <cell r="K6" t="str">
            <v>1997</v>
          </cell>
          <cell r="L6" t="str">
            <v>1998</v>
          </cell>
          <cell r="P6" t="str">
            <v>CONCEPTOS</v>
          </cell>
          <cell r="S6" t="str">
            <v>1990</v>
          </cell>
          <cell r="T6" t="str">
            <v>1991</v>
          </cell>
          <cell r="U6" t="str">
            <v>1992</v>
          </cell>
          <cell r="V6" t="str">
            <v>1993</v>
          </cell>
          <cell r="W6" t="str">
            <v>1994</v>
          </cell>
          <cell r="X6" t="str">
            <v>1995</v>
          </cell>
          <cell r="Y6" t="str">
            <v>1996</v>
          </cell>
          <cell r="Z6" t="str">
            <v>1997</v>
          </cell>
          <cell r="AA6" t="str">
            <v>1998</v>
          </cell>
        </row>
        <row r="9">
          <cell r="A9" t="str">
            <v>FUNCIONAMIENTO</v>
          </cell>
          <cell r="D9">
            <v>1514171.5079999999</v>
          </cell>
          <cell r="E9">
            <v>2042977.54</v>
          </cell>
          <cell r="F9">
            <v>2840041.1519999998</v>
          </cell>
          <cell r="G9">
            <v>4359295.9340000004</v>
          </cell>
          <cell r="H9">
            <v>6348478.9809999987</v>
          </cell>
          <cell r="I9">
            <v>8416455.5750610009</v>
          </cell>
          <cell r="J9">
            <v>10744325.71397927</v>
          </cell>
          <cell r="K9">
            <v>13479247.99776217</v>
          </cell>
          <cell r="L9">
            <v>18614618.366270654</v>
          </cell>
          <cell r="P9" t="str">
            <v>FUNCIONAMIENTO</v>
          </cell>
          <cell r="S9">
            <v>10.00992620994665</v>
          </cell>
          <cell r="T9">
            <v>10.099689630110003</v>
          </cell>
          <cell r="U9">
            <v>10.823009552577551</v>
          </cell>
          <cell r="V9">
            <v>13.154773506714696</v>
          </cell>
          <cell r="W9">
            <v>14.563491641442578</v>
          </cell>
          <cell r="X9">
            <v>14.792463841724823</v>
          </cell>
          <cell r="Y9">
            <v>14.838791327562923</v>
          </cell>
          <cell r="Z9">
            <v>14.988418185388378</v>
          </cell>
          <cell r="AA9">
            <v>17.078168629258041</v>
          </cell>
        </row>
        <row r="10">
          <cell r="A10" t="str">
            <v>1.</v>
          </cell>
          <cell r="B10" t="str">
            <v>SERVICIOS PERSONALES</v>
          </cell>
          <cell r="D10">
            <v>452281.84499999997</v>
          </cell>
          <cell r="E10">
            <v>570378.91799999995</v>
          </cell>
          <cell r="F10">
            <v>786919.03299999994</v>
          </cell>
          <cell r="G10">
            <v>1168875.811</v>
          </cell>
          <cell r="H10">
            <v>1624297.6979999999</v>
          </cell>
          <cell r="I10">
            <v>2079844.530424</v>
          </cell>
          <cell r="J10">
            <v>2552417.1840965501</v>
          </cell>
          <cell r="K10">
            <v>3822362.5809934139</v>
          </cell>
          <cell r="L10">
            <v>4103822.4998498741</v>
          </cell>
          <cell r="P10" t="str">
            <v>1.</v>
          </cell>
          <cell r="Q10" t="str">
            <v>SERVICIOS PERSONALES</v>
          </cell>
          <cell r="S10">
            <v>2.9899571287855244</v>
          </cell>
          <cell r="T10">
            <v>2.8197324398181896</v>
          </cell>
          <cell r="U10">
            <v>2.9988411278007034</v>
          </cell>
          <cell r="V10">
            <v>3.5272431108097497</v>
          </cell>
          <cell r="W10">
            <v>3.7261596074956627</v>
          </cell>
          <cell r="X10">
            <v>3.6554609880992781</v>
          </cell>
          <cell r="Y10">
            <v>3.525096593676063</v>
          </cell>
          <cell r="Z10">
            <v>4.2503238184816574</v>
          </cell>
          <cell r="AA10">
            <v>3.7650931809579053</v>
          </cell>
        </row>
        <row r="11">
          <cell r="B11" t="str">
            <v>1.1.</v>
          </cell>
          <cell r="C11" t="str">
            <v>Vigencia</v>
          </cell>
          <cell r="D11">
            <v>448435.77999999997</v>
          </cell>
          <cell r="E11">
            <v>561895</v>
          </cell>
          <cell r="F11">
            <v>780872.06299999997</v>
          </cell>
          <cell r="G11">
            <v>1155639.1529999999</v>
          </cell>
          <cell r="H11">
            <v>1614299.4</v>
          </cell>
          <cell r="I11">
            <v>2058168.3357800001</v>
          </cell>
          <cell r="J11">
            <v>2533434</v>
          </cell>
          <cell r="K11">
            <v>3720242.9032626296</v>
          </cell>
          <cell r="L11">
            <v>4025801.5790410009</v>
          </cell>
          <cell r="Q11" t="str">
            <v>1.1.</v>
          </cell>
          <cell r="R11" t="str">
            <v>Vigencia</v>
          </cell>
          <cell r="S11">
            <v>2.964531457621292</v>
          </cell>
          <cell r="T11">
            <v>2.7777912353900178</v>
          </cell>
          <cell r="U11">
            <v>2.9757969497161496</v>
          </cell>
          <cell r="V11">
            <v>3.4872996794364015</v>
          </cell>
          <cell r="W11">
            <v>3.7032233845377793</v>
          </cell>
          <cell r="X11">
            <v>3.6173636771067899</v>
          </cell>
          <cell r="Y11">
            <v>3.4988792660335366</v>
          </cell>
          <cell r="Z11">
            <v>4.1367705672142128</v>
          </cell>
          <cell r="AA11">
            <v>3.6935121033356908</v>
          </cell>
        </row>
        <row r="12">
          <cell r="B12" t="str">
            <v>1.2.</v>
          </cell>
          <cell r="C12" t="str">
            <v>Reservas de apropiación</v>
          </cell>
          <cell r="D12">
            <v>858.06499999999994</v>
          </cell>
          <cell r="E12">
            <v>974</v>
          </cell>
          <cell r="F12">
            <v>445.137</v>
          </cell>
          <cell r="G12">
            <v>4114.1580000000004</v>
          </cell>
          <cell r="H12">
            <v>4524.2</v>
          </cell>
          <cell r="I12">
            <v>8374.0679999999993</v>
          </cell>
          <cell r="J12">
            <v>4569.7269999999999</v>
          </cell>
          <cell r="K12">
            <v>6443.6396408199998</v>
          </cell>
          <cell r="L12">
            <v>9822.3828690355003</v>
          </cell>
          <cell r="Q12" t="str">
            <v>1.2.</v>
          </cell>
          <cell r="R12" t="str">
            <v>Reservas de apropiación</v>
          </cell>
          <cell r="S12">
            <v>5.6725194523590729E-3</v>
          </cell>
          <cell r="T12">
            <v>4.8150787304921333E-3</v>
          </cell>
          <cell r="U12">
            <v>1.6963564066010104E-3</v>
          </cell>
          <cell r="V12">
            <v>1.2415036161855195E-2</v>
          </cell>
          <cell r="W12">
            <v>1.0378572423632085E-2</v>
          </cell>
          <cell r="X12">
            <v>1.4717964943009525E-2</v>
          </cell>
          <cell r="Y12">
            <v>6.3111662082902635E-3</v>
          </cell>
          <cell r="Z12">
            <v>7.1650855884979759E-3</v>
          </cell>
          <cell r="AA12">
            <v>9.0116438423728604E-3</v>
          </cell>
        </row>
        <row r="13">
          <cell r="B13" t="str">
            <v>1.3.</v>
          </cell>
          <cell r="C13" t="str">
            <v>Reservas de Tesorería</v>
          </cell>
          <cell r="D13">
            <v>1389.0060000000001</v>
          </cell>
          <cell r="E13">
            <v>2988</v>
          </cell>
          <cell r="F13">
            <v>7509.9179999999997</v>
          </cell>
          <cell r="G13">
            <v>5601.8329999999996</v>
          </cell>
          <cell r="H13">
            <v>9122.5</v>
          </cell>
          <cell r="I13">
            <v>5474.098</v>
          </cell>
          <cell r="J13">
            <v>13302.126644</v>
          </cell>
          <cell r="K13">
            <v>14413.457096550001</v>
          </cell>
          <cell r="L13">
            <v>95676.038089963811</v>
          </cell>
          <cell r="Q13" t="str">
            <v>1.3.</v>
          </cell>
          <cell r="R13" t="str">
            <v>Reservas de Tesorería</v>
          </cell>
          <cell r="S13">
            <v>9.18247866355517E-3</v>
          </cell>
          <cell r="T13">
            <v>1.4771514627012828E-2</v>
          </cell>
          <cell r="U13">
            <v>2.8619273419976873E-2</v>
          </cell>
          <cell r="V13">
            <v>1.6904299559636207E-2</v>
          </cell>
          <cell r="W13">
            <v>2.09271311910578E-2</v>
          </cell>
          <cell r="X13">
            <v>9.6210805141059962E-3</v>
          </cell>
          <cell r="Y13">
            <v>1.8371323314064575E-2</v>
          </cell>
          <cell r="Z13">
            <v>1.6027223662337199E-2</v>
          </cell>
          <cell r="AA13">
            <v>8.7778942341382823E-2</v>
          </cell>
        </row>
        <row r="14">
          <cell r="B14" t="str">
            <v>1.4.</v>
          </cell>
          <cell r="C14" t="str">
            <v>Deuda Flotante</v>
          </cell>
          <cell r="D14">
            <v>1598.9939999999999</v>
          </cell>
          <cell r="E14">
            <v>4521.9179999999997</v>
          </cell>
          <cell r="F14">
            <v>-1908.085</v>
          </cell>
          <cell r="G14">
            <v>3520.6670000000004</v>
          </cell>
          <cell r="H14">
            <v>-3648.402</v>
          </cell>
          <cell r="I14">
            <v>7828.028644</v>
          </cell>
          <cell r="J14">
            <v>1111.3304525500007</v>
          </cell>
          <cell r="K14">
            <v>81262.580993413809</v>
          </cell>
          <cell r="L14">
            <v>-27477.500150126158</v>
          </cell>
          <cell r="Q14" t="str">
            <v>1.4.</v>
          </cell>
          <cell r="R14" t="str">
            <v>Deuda Flotante</v>
          </cell>
          <cell r="S14">
            <v>1.0570673048318536E-2</v>
          </cell>
          <cell r="T14">
            <v>2.2354611070666865E-2</v>
          </cell>
          <cell r="U14">
            <v>-7.2714517420238902E-3</v>
          </cell>
          <cell r="V14">
            <v>1.0624095651856406E-2</v>
          </cell>
          <cell r="W14">
            <v>-8.36948065680654E-3</v>
          </cell>
          <cell r="X14">
            <v>1.3758265535372582E-2</v>
          </cell>
          <cell r="Y14">
            <v>1.5348381201716185E-3</v>
          </cell>
          <cell r="Z14">
            <v>9.0360942016608936E-2</v>
          </cell>
          <cell r="AA14">
            <v>-2.5209508561540958E-2</v>
          </cell>
        </row>
        <row r="15">
          <cell r="A15" t="str">
            <v>2.</v>
          </cell>
          <cell r="B15" t="str">
            <v>GASTOS GENERALES</v>
          </cell>
          <cell r="D15">
            <v>88229.286999999997</v>
          </cell>
          <cell r="E15">
            <v>135133.66399999999</v>
          </cell>
          <cell r="F15">
            <v>221513.60000000001</v>
          </cell>
          <cell r="G15">
            <v>331820.55400000006</v>
          </cell>
          <cell r="H15">
            <v>496726.674</v>
          </cell>
          <cell r="I15">
            <v>658657.75230500009</v>
          </cell>
          <cell r="J15">
            <v>746841.81881257007</v>
          </cell>
          <cell r="K15">
            <v>923741.25538861135</v>
          </cell>
          <cell r="L15">
            <v>1064141.5849549375</v>
          </cell>
          <cell r="P15" t="str">
            <v>2.</v>
          </cell>
          <cell r="Q15" t="str">
            <v>GASTOS GENERALES</v>
          </cell>
          <cell r="S15">
            <v>0.58326857146634759</v>
          </cell>
          <cell r="T15">
            <v>0.66804849209432293</v>
          </cell>
          <cell r="U15">
            <v>0.84415812325026574</v>
          </cell>
          <cell r="V15">
            <v>1.0013140421823434</v>
          </cell>
          <cell r="W15">
            <v>1.1394973168425102</v>
          </cell>
          <cell r="X15">
            <v>1.157633507139713</v>
          </cell>
          <cell r="Y15">
            <v>1.0314495482614019</v>
          </cell>
          <cell r="Z15">
            <v>1.0271656277233547</v>
          </cell>
          <cell r="AA15">
            <v>0.97630738786439764</v>
          </cell>
        </row>
        <row r="16">
          <cell r="B16" t="str">
            <v>2.1.</v>
          </cell>
          <cell r="C16" t="str">
            <v>Vigencia</v>
          </cell>
          <cell r="D16">
            <v>60562.438000000002</v>
          </cell>
          <cell r="E16">
            <v>112505</v>
          </cell>
          <cell r="F16">
            <v>176720.44200000001</v>
          </cell>
          <cell r="G16">
            <v>258642.916</v>
          </cell>
          <cell r="H16">
            <v>399005.9</v>
          </cell>
          <cell r="I16">
            <v>508771.81699999998</v>
          </cell>
          <cell r="J16">
            <v>567045.63896799996</v>
          </cell>
          <cell r="K16">
            <v>675253.51317078003</v>
          </cell>
          <cell r="L16">
            <v>770641.77358200005</v>
          </cell>
          <cell r="Q16" t="str">
            <v>2.1.</v>
          </cell>
          <cell r="R16" t="str">
            <v>Vigencia</v>
          </cell>
          <cell r="S16">
            <v>0.40036781320446624</v>
          </cell>
          <cell r="T16">
            <v>0.55618114227311855</v>
          </cell>
          <cell r="U16">
            <v>0.67345750626001044</v>
          </cell>
          <cell r="V16">
            <v>0.78049048071262106</v>
          </cell>
          <cell r="W16">
            <v>0.91532461664084308</v>
          </cell>
          <cell r="X16">
            <v>0.89419930272804793</v>
          </cell>
          <cell r="Y16">
            <v>0.78313633948224948</v>
          </cell>
          <cell r="Z16">
            <v>0.75085657881185952</v>
          </cell>
          <cell r="AA16">
            <v>0.7070330373160727</v>
          </cell>
        </row>
        <row r="17">
          <cell r="B17" t="str">
            <v>2.2.</v>
          </cell>
          <cell r="C17" t="str">
            <v>Reservas de apropiación</v>
          </cell>
          <cell r="D17">
            <v>10424.849</v>
          </cell>
          <cell r="E17">
            <v>12493</v>
          </cell>
          <cell r="F17">
            <v>24202.214</v>
          </cell>
          <cell r="G17">
            <v>44751.06</v>
          </cell>
          <cell r="H17">
            <v>77700.800000000003</v>
          </cell>
          <cell r="I17">
            <v>67560.148344000001</v>
          </cell>
          <cell r="J17">
            <v>52550.792460999997</v>
          </cell>
          <cell r="K17">
            <v>65501.099445650005</v>
          </cell>
          <cell r="L17">
            <v>94194.583645818668</v>
          </cell>
          <cell r="Q17" t="str">
            <v>2.2.</v>
          </cell>
          <cell r="R17" t="str">
            <v>Reservas de apropiación</v>
          </cell>
          <cell r="S17">
            <v>6.891687545862614E-2</v>
          </cell>
          <cell r="T17">
            <v>6.1760552956918097E-2</v>
          </cell>
          <cell r="U17">
            <v>9.2231337257582854E-2</v>
          </cell>
          <cell r="V17">
            <v>0.13504246268163533</v>
          </cell>
          <cell r="W17">
            <v>0.17824662485614076</v>
          </cell>
          <cell r="X17">
            <v>0.11874132080985193</v>
          </cell>
          <cell r="Y17">
            <v>7.2576936346249551E-2</v>
          </cell>
          <cell r="Z17">
            <v>7.2834765727072079E-2</v>
          </cell>
          <cell r="AA17">
            <v>8.6419767078379922E-2</v>
          </cell>
        </row>
        <row r="18">
          <cell r="B18" t="str">
            <v>2.3.</v>
          </cell>
          <cell r="C18" t="str">
            <v>Reservas de Tesorería</v>
          </cell>
          <cell r="D18">
            <v>7626.5989999999993</v>
          </cell>
          <cell r="E18">
            <v>17242</v>
          </cell>
          <cell r="F18">
            <v>10135.664000000001</v>
          </cell>
          <cell r="G18">
            <v>20590.944</v>
          </cell>
          <cell r="H18">
            <v>28426.578000000001</v>
          </cell>
          <cell r="I18">
            <v>20019.974000000002</v>
          </cell>
          <cell r="J18">
            <v>82325.786961000005</v>
          </cell>
          <cell r="K18">
            <v>127245.38738357001</v>
          </cell>
          <cell r="L18">
            <v>182986.6427721814</v>
          </cell>
          <cell r="Q18" t="str">
            <v>2.3.</v>
          </cell>
          <cell r="R18" t="str">
            <v>Reservas de Tesorería</v>
          </cell>
          <cell r="S18">
            <v>5.0418128210382961E-2</v>
          </cell>
          <cell r="T18">
            <v>8.5237769477561981E-2</v>
          </cell>
          <cell r="U18">
            <v>3.8625633370299985E-2</v>
          </cell>
          <cell r="V18">
            <v>6.2135998269083316E-2</v>
          </cell>
          <cell r="W18">
            <v>6.5210931994391624E-2</v>
          </cell>
          <cell r="X18">
            <v>3.5186396323980441E-2</v>
          </cell>
          <cell r="Y18">
            <v>0.11369863555069402</v>
          </cell>
          <cell r="Z18">
            <v>0.14149209797040049</v>
          </cell>
          <cell r="AA18">
            <v>0.16788293376068872</v>
          </cell>
        </row>
        <row r="19">
          <cell r="B19" t="str">
            <v>2.4.</v>
          </cell>
          <cell r="C19" t="str">
            <v>Deuda Flotante</v>
          </cell>
          <cell r="D19">
            <v>9615.4010000000017</v>
          </cell>
          <cell r="E19">
            <v>-7106.3359999999993</v>
          </cell>
          <cell r="F19">
            <v>10455.279999999999</v>
          </cell>
          <cell r="G19">
            <v>7835.6340000000018</v>
          </cell>
          <cell r="H19">
            <v>-8406.6039999999994</v>
          </cell>
          <cell r="I19">
            <v>62305.812961000003</v>
          </cell>
          <cell r="J19">
            <v>44919.600422570002</v>
          </cell>
          <cell r="K19">
            <v>55741.255388611389</v>
          </cell>
          <cell r="L19">
            <v>16318.584954937338</v>
          </cell>
          <cell r="Q19" t="str">
            <v>2.4.</v>
          </cell>
          <cell r="R19" t="str">
            <v>Deuda Flotante</v>
          </cell>
          <cell r="S19">
            <v>6.3565754592872212E-2</v>
          </cell>
          <cell r="T19">
            <v>-3.5130972613275711E-2</v>
          </cell>
          <cell r="U19">
            <v>3.9843646362372503E-2</v>
          </cell>
          <cell r="V19">
            <v>2.3645100519003422E-2</v>
          </cell>
          <cell r="W19">
            <v>-1.9284856648865034E-2</v>
          </cell>
          <cell r="X19">
            <v>0.10950648727783278</v>
          </cell>
          <cell r="Y19">
            <v>6.2037636882208674E-2</v>
          </cell>
          <cell r="Z19">
            <v>6.1982185214022795E-2</v>
          </cell>
          <cell r="AA19">
            <v>1.4971649709256303E-2</v>
          </cell>
        </row>
        <row r="20">
          <cell r="A20" t="str">
            <v>3.</v>
          </cell>
          <cell r="B20" t="str">
            <v>TRANSFERENCIAS</v>
          </cell>
          <cell r="D20">
            <v>973660.37599999993</v>
          </cell>
          <cell r="E20">
            <v>1337464.9580000001</v>
          </cell>
          <cell r="F20">
            <v>1831608.5190000001</v>
          </cell>
          <cell r="G20">
            <v>2858599.5690000001</v>
          </cell>
          <cell r="H20">
            <v>4227454.6089999992</v>
          </cell>
          <cell r="I20">
            <v>5677953.2923320001</v>
          </cell>
          <cell r="J20">
            <v>7445066.7110701501</v>
          </cell>
          <cell r="K20">
            <v>8733144.1613801438</v>
          </cell>
          <cell r="L20">
            <v>13446654.281465843</v>
          </cell>
          <cell r="P20" t="str">
            <v>3.</v>
          </cell>
          <cell r="Q20" t="str">
            <v>TRANSFERENCIAS</v>
          </cell>
          <cell r="S20">
            <v>6.4367005096947771</v>
          </cell>
          <cell r="T20">
            <v>6.6119086981974897</v>
          </cell>
          <cell r="U20">
            <v>6.9800103015265833</v>
          </cell>
          <cell r="V20">
            <v>8.6262163537226026</v>
          </cell>
          <cell r="W20">
            <v>9.6978347171044064</v>
          </cell>
          <cell r="X20">
            <v>9.9793693464858304</v>
          </cell>
          <cell r="Y20">
            <v>10.282245185625456</v>
          </cell>
          <cell r="Z20">
            <v>9.7109287391833643</v>
          </cell>
          <cell r="AA20">
            <v>12.336768060435739</v>
          </cell>
        </row>
        <row r="21">
          <cell r="B21" t="str">
            <v>3.1.</v>
          </cell>
          <cell r="C21" t="str">
            <v>Vigencia</v>
          </cell>
          <cell r="D21">
            <v>916032.97599999991</v>
          </cell>
          <cell r="E21">
            <v>1191613</v>
          </cell>
          <cell r="F21">
            <v>1764629.9180000001</v>
          </cell>
          <cell r="G21">
            <v>2728808.7370000002</v>
          </cell>
          <cell r="H21">
            <v>4015879</v>
          </cell>
          <cell r="I21">
            <v>5203311.62</v>
          </cell>
          <cell r="J21">
            <v>6804539.1954640001</v>
          </cell>
          <cell r="K21">
            <v>7561255.3762968201</v>
          </cell>
          <cell r="L21">
            <v>11980966.199272001</v>
          </cell>
          <cell r="Q21" t="str">
            <v>3.1.</v>
          </cell>
          <cell r="R21" t="str">
            <v>Vigencia</v>
          </cell>
          <cell r="S21">
            <v>6.0557357255713402</v>
          </cell>
          <cell r="T21">
            <v>5.8908731121949929</v>
          </cell>
          <cell r="U21">
            <v>6.7247639865459741</v>
          </cell>
          <cell r="V21">
            <v>8.2345547129306667</v>
          </cell>
          <cell r="W21">
            <v>9.2124775752714729</v>
          </cell>
          <cell r="X21">
            <v>9.1451559756517522</v>
          </cell>
          <cell r="Y21">
            <v>9.3976243730531408</v>
          </cell>
          <cell r="Z21">
            <v>8.4078323661133165</v>
          </cell>
          <cell r="AA21">
            <v>10.992057804599581</v>
          </cell>
        </row>
        <row r="22">
          <cell r="B22" t="str">
            <v>3.2.</v>
          </cell>
          <cell r="C22" t="str">
            <v>Reservas de apropiación</v>
          </cell>
          <cell r="D22">
            <v>27937.4</v>
          </cell>
          <cell r="E22">
            <v>67827</v>
          </cell>
          <cell r="F22">
            <v>44092.851999999999</v>
          </cell>
          <cell r="G22">
            <v>61973.756000000001</v>
          </cell>
          <cell r="H22">
            <v>25414.799999999999</v>
          </cell>
          <cell r="I22">
            <v>128370.81544999999</v>
          </cell>
          <cell r="J22">
            <v>142737.45243100001</v>
          </cell>
          <cell r="K22">
            <v>123754.56052803001</v>
          </cell>
          <cell r="L22">
            <v>855038.81017270719</v>
          </cell>
          <cell r="Q22" t="str">
            <v>3.2.</v>
          </cell>
          <cell r="R22" t="str">
            <v>Reservas de apropiación</v>
          </cell>
          <cell r="S22">
            <v>0.18468932417513403</v>
          </cell>
          <cell r="T22">
            <v>0.3353104158655954</v>
          </cell>
          <cell r="U22">
            <v>0.16803184632036916</v>
          </cell>
          <cell r="V22">
            <v>0.18701431054081794</v>
          </cell>
          <cell r="W22">
            <v>5.8301874902109703E-2</v>
          </cell>
          <cell r="X22">
            <v>0.22561999275604708</v>
          </cell>
          <cell r="Y22">
            <v>0.19713207953997386</v>
          </cell>
          <cell r="Z22">
            <v>0.13761042944317223</v>
          </cell>
          <cell r="AA22">
            <v>0.7844639464190738</v>
          </cell>
        </row>
        <row r="23">
          <cell r="B23" t="str">
            <v>3.3.</v>
          </cell>
          <cell r="C23" t="str">
            <v>Reservas de Tesorería</v>
          </cell>
          <cell r="D23">
            <v>75494</v>
          </cell>
          <cell r="E23">
            <v>29690</v>
          </cell>
          <cell r="F23">
            <v>78024.957999999999</v>
          </cell>
          <cell r="G23">
            <v>22885.749</v>
          </cell>
          <cell r="H23">
            <v>67817.076000000001</v>
          </cell>
          <cell r="I23">
            <v>186160.80899999998</v>
          </cell>
          <cell r="J23">
            <v>346270.85688199999</v>
          </cell>
          <cell r="K23">
            <v>497790.06317515002</v>
          </cell>
          <cell r="L23">
            <v>1048134.2245552937</v>
          </cell>
          <cell r="Q23" t="str">
            <v>3.3.</v>
          </cell>
          <cell r="R23" t="str">
            <v>Reservas de Tesorería</v>
          </cell>
          <cell r="S23">
            <v>0.4990777896038131</v>
          </cell>
          <cell r="T23">
            <v>0.14677585986479616</v>
          </cell>
          <cell r="U23">
            <v>0.29734247518870538</v>
          </cell>
          <cell r="V23">
            <v>6.906088716722629E-2</v>
          </cell>
          <cell r="W23">
            <v>0.1555732361135585</v>
          </cell>
          <cell r="X23">
            <v>0.32718963598388406</v>
          </cell>
          <cell r="Y23">
            <v>0.47822833418044275</v>
          </cell>
          <cell r="Z23">
            <v>0.55352387882756815</v>
          </cell>
          <cell r="AA23">
            <v>0.96162127425006882</v>
          </cell>
        </row>
        <row r="24">
          <cell r="B24" t="str">
            <v>3.4.</v>
          </cell>
          <cell r="C24" t="str">
            <v>Deuda Flotante</v>
          </cell>
          <cell r="D24">
            <v>-45804</v>
          </cell>
          <cell r="E24">
            <v>48334.957999999999</v>
          </cell>
          <cell r="F24">
            <v>-55139.209000000003</v>
          </cell>
          <cell r="G24">
            <v>44931.327000000005</v>
          </cell>
          <cell r="H24">
            <v>118343.73299999998</v>
          </cell>
          <cell r="I24">
            <v>160110.04788200001</v>
          </cell>
          <cell r="J24">
            <v>151519.20629315003</v>
          </cell>
          <cell r="K24">
            <v>550344.1613801436</v>
          </cell>
          <cell r="L24">
            <v>-437484.9525341579</v>
          </cell>
          <cell r="Q24" t="str">
            <v>3.4.</v>
          </cell>
          <cell r="R24" t="str">
            <v>Deuda Flotante</v>
          </cell>
          <cell r="S24">
            <v>-0.30280232965550979</v>
          </cell>
          <cell r="T24">
            <v>0.23894931027210534</v>
          </cell>
          <cell r="U24">
            <v>-0.21012800652846669</v>
          </cell>
          <cell r="V24">
            <v>0.13558644308389245</v>
          </cell>
          <cell r="W24">
            <v>0.27148203081726674</v>
          </cell>
          <cell r="X24">
            <v>0.28140374209414742</v>
          </cell>
          <cell r="Y24">
            <v>0.20926039885189857</v>
          </cell>
          <cell r="Z24">
            <v>0.61196206479930682</v>
          </cell>
          <cell r="AA24">
            <v>-0.40137496483298385</v>
          </cell>
        </row>
        <row r="26">
          <cell r="A26" t="str">
            <v>SERVICIO DE LA DEUDA</v>
          </cell>
          <cell r="D26">
            <v>642008.13299999991</v>
          </cell>
          <cell r="E26">
            <v>981207.84400000004</v>
          </cell>
          <cell r="F26">
            <v>1186322.27</v>
          </cell>
          <cell r="G26">
            <v>1555947.0029999998</v>
          </cell>
          <cell r="H26">
            <v>2492870.6804299997</v>
          </cell>
          <cell r="I26">
            <v>2555290.0435859999</v>
          </cell>
          <cell r="J26">
            <v>4931696.6335319998</v>
          </cell>
          <cell r="K26">
            <v>8105297.8707762575</v>
          </cell>
          <cell r="L26">
            <v>15954873.558034485</v>
          </cell>
          <cell r="P26" t="str">
            <v>SERVICIO DE LA DEUDA</v>
          </cell>
          <cell r="S26">
            <v>4.2442048364811882</v>
          </cell>
          <cell r="T26">
            <v>4.8507115193392645</v>
          </cell>
          <cell r="U26">
            <v>4.5209124000205634</v>
          </cell>
          <cell r="V26">
            <v>4.6952835326633569</v>
          </cell>
          <cell r="W26">
            <v>5.7186770919923413</v>
          </cell>
          <cell r="X26">
            <v>4.4910871610691521</v>
          </cell>
          <cell r="Y26">
            <v>6.8110758351835914</v>
          </cell>
          <cell r="Z26">
            <v>9.0127872136859288</v>
          </cell>
          <cell r="AA26">
            <v>14.637959034192823</v>
          </cell>
        </row>
        <row r="27">
          <cell r="A27" t="str">
            <v>1.</v>
          </cell>
          <cell r="B27" t="str">
            <v>INTERNA</v>
          </cell>
          <cell r="D27">
            <v>53495.635999999999</v>
          </cell>
          <cell r="E27">
            <v>317438.14600000001</v>
          </cell>
          <cell r="F27">
            <v>191249.383</v>
          </cell>
          <cell r="G27">
            <v>342860.55699999997</v>
          </cell>
          <cell r="H27">
            <v>1209860.2339999999</v>
          </cell>
          <cell r="I27">
            <v>1316512.6035509999</v>
          </cell>
          <cell r="J27">
            <v>3410773.4025599998</v>
          </cell>
          <cell r="K27">
            <v>5774404.6764245965</v>
          </cell>
          <cell r="L27">
            <v>12048979.051885806</v>
          </cell>
          <cell r="P27" t="str">
            <v>1.</v>
          </cell>
          <cell r="Q27" t="str">
            <v>INTERNA</v>
          </cell>
          <cell r="S27">
            <v>0.35365040623533223</v>
          </cell>
          <cell r="T27">
            <v>1.5692912372191545</v>
          </cell>
          <cell r="U27">
            <v>0.72882531919508009</v>
          </cell>
          <cell r="V27">
            <v>1.0346287657471622</v>
          </cell>
          <cell r="W27">
            <v>2.7754347864907527</v>
          </cell>
          <cell r="X27">
            <v>2.3138558638518121</v>
          </cell>
          <cell r="Y27">
            <v>4.7105566355215256</v>
          </cell>
          <cell r="Z27">
            <v>6.4209214101768168</v>
          </cell>
          <cell r="AA27">
            <v>11.054456879511593</v>
          </cell>
        </row>
        <row r="28">
          <cell r="B28" t="str">
            <v>1.1.</v>
          </cell>
          <cell r="C28" t="str">
            <v>Vigencia</v>
          </cell>
          <cell r="D28">
            <v>43883.635999999999</v>
          </cell>
          <cell r="E28">
            <v>303956</v>
          </cell>
          <cell r="F28">
            <v>181226.709</v>
          </cell>
          <cell r="G28">
            <v>322907.95699999999</v>
          </cell>
          <cell r="H28">
            <v>1121100.2999999998</v>
          </cell>
          <cell r="I28">
            <v>1288610.748864</v>
          </cell>
          <cell r="J28">
            <v>3407106.3435379998</v>
          </cell>
          <cell r="K28">
            <v>5204532.9409779999</v>
          </cell>
          <cell r="L28">
            <v>10199179.051885806</v>
          </cell>
          <cell r="Q28" t="str">
            <v>1.1.</v>
          </cell>
          <cell r="R28" t="str">
            <v>Vigencia</v>
          </cell>
          <cell r="S28">
            <v>0.29010713506581076</v>
          </cell>
          <cell r="T28">
            <v>1.5026407295744015</v>
          </cell>
          <cell r="U28">
            <v>0.69063027530707843</v>
          </cell>
          <cell r="V28">
            <v>0.97441905806869411</v>
          </cell>
          <cell r="W28">
            <v>2.5718183673811188</v>
          </cell>
          <cell r="X28">
            <v>2.2648165535514644</v>
          </cell>
          <cell r="Y28">
            <v>4.7054921275140549</v>
          </cell>
          <cell r="Z28">
            <v>5.7872454154681607</v>
          </cell>
          <cell r="AA28">
            <v>9.3573392857582771</v>
          </cell>
        </row>
        <row r="29">
          <cell r="B29" t="str">
            <v>1.2.</v>
          </cell>
          <cell r="C29" t="str">
            <v>Reservas de apropiación</v>
          </cell>
          <cell r="D29">
            <v>0</v>
          </cell>
          <cell r="E29">
            <v>2300</v>
          </cell>
          <cell r="F29">
            <v>0</v>
          </cell>
          <cell r="G29">
            <v>0</v>
          </cell>
          <cell r="H29">
            <v>0</v>
          </cell>
          <cell r="I29">
            <v>0</v>
          </cell>
          <cell r="J29">
            <v>0</v>
          </cell>
          <cell r="K29">
            <v>200</v>
          </cell>
          <cell r="L29">
            <v>0</v>
          </cell>
          <cell r="Q29" t="str">
            <v>1.2.</v>
          </cell>
          <cell r="R29" t="str">
            <v>Reservas de apropiación</v>
          </cell>
          <cell r="S29">
            <v>0</v>
          </cell>
          <cell r="T29">
            <v>1.137030911717855E-2</v>
          </cell>
          <cell r="U29">
            <v>0</v>
          </cell>
          <cell r="V29">
            <v>0</v>
          </cell>
          <cell r="W29">
            <v>0</v>
          </cell>
          <cell r="X29">
            <v>0</v>
          </cell>
          <cell r="Y29">
            <v>0</v>
          </cell>
          <cell r="Z29">
            <v>2.2239249827403964E-4</v>
          </cell>
          <cell r="AA29">
            <v>0</v>
          </cell>
        </row>
        <row r="30">
          <cell r="B30" t="str">
            <v>1.3.</v>
          </cell>
          <cell r="C30" t="str">
            <v>Reservas de Tesorería</v>
          </cell>
          <cell r="D30">
            <v>1630.654</v>
          </cell>
          <cell r="E30">
            <v>9612</v>
          </cell>
          <cell r="F30">
            <v>11182.146000000001</v>
          </cell>
          <cell r="G30">
            <v>10022.674000000001</v>
          </cell>
          <cell r="H30">
            <v>19952.599999999999</v>
          </cell>
          <cell r="I30">
            <v>88759.933999999994</v>
          </cell>
          <cell r="J30">
            <v>27901.854686999999</v>
          </cell>
          <cell r="K30">
            <v>3667.0590219999999</v>
          </cell>
          <cell r="L30">
            <v>569671.7354465964</v>
          </cell>
          <cell r="Q30" t="str">
            <v>1.3.</v>
          </cell>
          <cell r="R30" t="str">
            <v>Reservas de Tesorería</v>
          </cell>
          <cell r="S30">
            <v>1.0779971837876073E-2</v>
          </cell>
          <cell r="T30">
            <v>4.7518004884487056E-2</v>
          </cell>
          <cell r="U30">
            <v>4.2613633570446542E-2</v>
          </cell>
          <cell r="V30">
            <v>3.024479374600729E-2</v>
          </cell>
          <cell r="W30">
            <v>4.5771518531400372E-2</v>
          </cell>
          <cell r="X30">
            <v>0.15600131226016306</v>
          </cell>
          <cell r="Y30">
            <v>3.8534740138572762E-2</v>
          </cell>
          <cell r="Z30">
            <v>4.0776320861046818E-3</v>
          </cell>
          <cell r="AA30">
            <v>0.52265105681176505</v>
          </cell>
        </row>
        <row r="31">
          <cell r="B31" t="str">
            <v>1.4.</v>
          </cell>
          <cell r="C31" t="str">
            <v>Deuda Flotante</v>
          </cell>
          <cell r="D31">
            <v>7981.3459999999995</v>
          </cell>
          <cell r="E31">
            <v>1570.1460000000006</v>
          </cell>
          <cell r="F31">
            <v>-1159.4719999999998</v>
          </cell>
          <cell r="G31">
            <v>9929.9259999999977</v>
          </cell>
          <cell r="H31">
            <v>68807.334000000003</v>
          </cell>
          <cell r="I31">
            <v>-60858.079312999995</v>
          </cell>
          <cell r="J31">
            <v>-24234.795664999998</v>
          </cell>
          <cell r="K31">
            <v>566004.67642459646</v>
          </cell>
          <cell r="L31">
            <v>1280128.2645534035</v>
          </cell>
          <cell r="Q31" t="str">
            <v>1.4.</v>
          </cell>
          <cell r="R31" t="str">
            <v>Deuda Flotante</v>
          </cell>
          <cell r="S31">
            <v>5.2763299331645364E-2</v>
          </cell>
          <cell r="T31">
            <v>7.762193643087582E-3</v>
          </cell>
          <cell r="U31">
            <v>-4.418589682444924E-3</v>
          </cell>
          <cell r="V31">
            <v>2.9964913932461049E-2</v>
          </cell>
          <cell r="W31">
            <v>0.15784490057823317</v>
          </cell>
          <cell r="X31">
            <v>-0.10696200195981539</v>
          </cell>
          <cell r="Y31">
            <v>-3.3470232131102652E-2</v>
          </cell>
          <cell r="Z31">
            <v>0.62937597012427704</v>
          </cell>
          <cell r="AA31">
            <v>1.1744665369415503</v>
          </cell>
        </row>
        <row r="32">
          <cell r="A32" t="str">
            <v>2.</v>
          </cell>
          <cell r="B32" t="str">
            <v>EXTERNA</v>
          </cell>
          <cell r="D32">
            <v>588512.49699999997</v>
          </cell>
          <cell r="E32">
            <v>663769.69799999997</v>
          </cell>
          <cell r="F32">
            <v>995072.88699999999</v>
          </cell>
          <cell r="G32">
            <v>1213086.4459999998</v>
          </cell>
          <cell r="H32">
            <v>1283010.44643</v>
          </cell>
          <cell r="I32">
            <v>1238777.440035</v>
          </cell>
          <cell r="J32">
            <v>1520923.2309719999</v>
          </cell>
          <cell r="K32">
            <v>2330893.194351661</v>
          </cell>
          <cell r="L32">
            <v>3905894.5061486787</v>
          </cell>
          <cell r="P32" t="str">
            <v>2.</v>
          </cell>
          <cell r="Q32" t="str">
            <v>EXTERNA</v>
          </cell>
          <cell r="S32">
            <v>3.8905544302458566</v>
          </cell>
          <cell r="T32">
            <v>3.2814202821201093</v>
          </cell>
          <cell r="U32">
            <v>3.7920870808254832</v>
          </cell>
          <cell r="V32">
            <v>3.6606547669161946</v>
          </cell>
          <cell r="W32">
            <v>2.9432423055015895</v>
          </cell>
          <cell r="X32">
            <v>2.17723129721734</v>
          </cell>
          <cell r="Y32">
            <v>2.1005191996620658</v>
          </cell>
          <cell r="Z32">
            <v>2.5918658035091124</v>
          </cell>
          <cell r="AA32">
            <v>3.5835021546812307</v>
          </cell>
        </row>
        <row r="33">
          <cell r="B33" t="str">
            <v>2.1.</v>
          </cell>
          <cell r="C33" t="str">
            <v>Vigencia</v>
          </cell>
          <cell r="D33">
            <v>502217.49699999997</v>
          </cell>
          <cell r="E33">
            <v>622360</v>
          </cell>
          <cell r="F33">
            <v>984036.4</v>
          </cell>
          <cell r="G33">
            <v>1127655.3459999999</v>
          </cell>
          <cell r="H33">
            <v>1264475.7</v>
          </cell>
          <cell r="I33">
            <v>1227136.3594519999</v>
          </cell>
          <cell r="J33">
            <v>1479298.6209249999</v>
          </cell>
          <cell r="K33">
            <v>1924315.2899529999</v>
          </cell>
          <cell r="L33">
            <v>3722794.5061486787</v>
          </cell>
          <cell r="Q33" t="str">
            <v>2.1.</v>
          </cell>
          <cell r="R33" t="str">
            <v>Vigencia</v>
          </cell>
          <cell r="S33">
            <v>3.3200730959164919</v>
          </cell>
          <cell r="T33">
            <v>3.0767067748553227</v>
          </cell>
          <cell r="U33">
            <v>3.7500285338414789</v>
          </cell>
          <cell r="V33">
            <v>3.4028547028819336</v>
          </cell>
          <cell r="W33">
            <v>2.9007233611186236</v>
          </cell>
          <cell r="X33">
            <v>2.1567713468181622</v>
          </cell>
          <cell r="Y33">
            <v>2.0430322135988095</v>
          </cell>
          <cell r="Z33">
            <v>2.1397664239979028</v>
          </cell>
          <cell r="AA33">
            <v>3.4155152201930523</v>
          </cell>
        </row>
        <row r="34">
          <cell r="B34" t="str">
            <v>2.2.</v>
          </cell>
          <cell r="C34" t="str">
            <v>Reservas de apropiación</v>
          </cell>
          <cell r="D34">
            <v>0</v>
          </cell>
          <cell r="E34">
            <v>799</v>
          </cell>
          <cell r="F34">
            <v>0</v>
          </cell>
          <cell r="G34">
            <v>0</v>
          </cell>
          <cell r="H34">
            <v>0</v>
          </cell>
          <cell r="I34">
            <v>0</v>
          </cell>
          <cell r="J34">
            <v>0</v>
          </cell>
          <cell r="K34">
            <v>260.10000000000002</v>
          </cell>
          <cell r="L34">
            <v>0</v>
          </cell>
          <cell r="Q34" t="str">
            <v>2.2.</v>
          </cell>
          <cell r="R34" t="str">
            <v>Reservas de apropiación</v>
          </cell>
          <cell r="S34">
            <v>0</v>
          </cell>
          <cell r="T34">
            <v>3.9499465150546354E-3</v>
          </cell>
          <cell r="U34">
            <v>0</v>
          </cell>
          <cell r="V34">
            <v>0</v>
          </cell>
          <cell r="W34">
            <v>0</v>
          </cell>
          <cell r="X34">
            <v>0</v>
          </cell>
          <cell r="Y34">
            <v>0</v>
          </cell>
          <cell r="Z34">
            <v>2.8922144400538854E-4</v>
          </cell>
          <cell r="AA34">
            <v>0</v>
          </cell>
        </row>
        <row r="35">
          <cell r="B35" t="str">
            <v>2.3.</v>
          </cell>
          <cell r="C35" t="str">
            <v>Reservas de Tesorería</v>
          </cell>
          <cell r="D35">
            <v>18709.312999999998</v>
          </cell>
          <cell r="E35">
            <v>86295</v>
          </cell>
          <cell r="F35">
            <v>40610.697999999997</v>
          </cell>
          <cell r="G35">
            <v>11036.486999999999</v>
          </cell>
          <cell r="H35">
            <v>85431.099999999991</v>
          </cell>
          <cell r="I35">
            <v>18534.746429999999</v>
          </cell>
          <cell r="J35">
            <v>11641.080583000001</v>
          </cell>
          <cell r="K35">
            <v>41624.610047000002</v>
          </cell>
          <cell r="L35">
            <v>406317.8043986609</v>
          </cell>
          <cell r="Q35" t="str">
            <v>2.3.</v>
          </cell>
          <cell r="R35" t="str">
            <v>Reservas de Tesorería</v>
          </cell>
          <cell r="S35">
            <v>0.12368403551336377</v>
          </cell>
          <cell r="T35">
            <v>0.42660905446387953</v>
          </cell>
          <cell r="U35">
            <v>0.15476183226476081</v>
          </cell>
          <cell r="V35">
            <v>3.3304113552480176E-2</v>
          </cell>
          <cell r="W35">
            <v>0.19598003151508667</v>
          </cell>
          <cell r="X35">
            <v>3.2576013018321678E-2</v>
          </cell>
          <cell r="Y35">
            <v>1.6077283041943974E-2</v>
          </cell>
          <cell r="Z35">
            <v>4.6285005090175101E-2</v>
          </cell>
          <cell r="AA35">
            <v>0.37278035165973927</v>
          </cell>
        </row>
        <row r="36">
          <cell r="B36" t="str">
            <v>2.4.</v>
          </cell>
          <cell r="C36" t="str">
            <v>Deuda Flotante</v>
          </cell>
          <cell r="D36">
            <v>67585.687000000005</v>
          </cell>
          <cell r="E36">
            <v>-45684.302000000003</v>
          </cell>
          <cell r="F36">
            <v>-29574.210999999996</v>
          </cell>
          <cell r="G36">
            <v>74394.612999999998</v>
          </cell>
          <cell r="H36">
            <v>-66896.353569999992</v>
          </cell>
          <cell r="I36">
            <v>-6893.6658469999984</v>
          </cell>
          <cell r="J36">
            <v>29983.529463999999</v>
          </cell>
          <cell r="K36">
            <v>364693.1943516609</v>
          </cell>
          <cell r="L36">
            <v>-223217.8043986609</v>
          </cell>
          <cell r="Q36" t="str">
            <v>2.4.</v>
          </cell>
          <cell r="R36" t="str">
            <v>Deuda Flotante</v>
          </cell>
          <cell r="S36">
            <v>0.44679729881600083</v>
          </cell>
          <cell r="T36">
            <v>-0.22584549371414708</v>
          </cell>
          <cell r="U36">
            <v>-0.11270328528075639</v>
          </cell>
          <cell r="V36">
            <v>0.22449595048178086</v>
          </cell>
          <cell r="W36">
            <v>-0.15346108713212142</v>
          </cell>
          <cell r="X36">
            <v>-1.2116062619143773E-2</v>
          </cell>
          <cell r="Y36">
            <v>4.140970302131227E-2</v>
          </cell>
          <cell r="Z36">
            <v>0.40552515297702868</v>
          </cell>
          <cell r="AA36">
            <v>-0.20479341717156105</v>
          </cell>
        </row>
        <row r="38">
          <cell r="A38" t="str">
            <v>INVERSION</v>
          </cell>
          <cell r="D38">
            <v>401180.27699999989</v>
          </cell>
          <cell r="E38">
            <v>698543.87199999997</v>
          </cell>
          <cell r="F38">
            <v>1001927.9469999998</v>
          </cell>
          <cell r="G38">
            <v>1084661.3589999999</v>
          </cell>
          <cell r="H38">
            <v>1426368.5948099999</v>
          </cell>
          <cell r="I38">
            <v>2390426.667376</v>
          </cell>
          <cell r="J38">
            <v>3155755.68042127</v>
          </cell>
          <cell r="K38">
            <v>4182411.6367080738</v>
          </cell>
          <cell r="L38">
            <v>2286180.076307606</v>
          </cell>
          <cell r="P38" t="str">
            <v>INVERSION</v>
          </cell>
          <cell r="S38">
            <v>2.6521334924339075</v>
          </cell>
          <cell r="T38">
            <v>3.4533303289351327</v>
          </cell>
          <cell r="U38">
            <v>3.8182107797061291</v>
          </cell>
          <cell r="V38">
            <v>3.2731144490201882</v>
          </cell>
          <cell r="W38">
            <v>3.2721077238030847</v>
          </cell>
          <cell r="X38">
            <v>4.2013291376753887</v>
          </cell>
          <cell r="Y38">
            <v>4.3583563332984143</v>
          </cell>
          <cell r="Z38">
            <v>4.6506848634896176</v>
          </cell>
          <cell r="AA38">
            <v>2.0974788787922671</v>
          </cell>
        </row>
        <row r="39">
          <cell r="B39" t="str">
            <v>1.1.</v>
          </cell>
          <cell r="C39" t="str">
            <v>Vigencia</v>
          </cell>
          <cell r="D39">
            <v>300944.17699999997</v>
          </cell>
          <cell r="E39">
            <v>509847</v>
          </cell>
          <cell r="F39">
            <v>740705.81499999994</v>
          </cell>
          <cell r="G39">
            <v>698011.73499999999</v>
          </cell>
          <cell r="H39">
            <v>958714.70000000007</v>
          </cell>
          <cell r="I39">
            <v>1384495.9769009999</v>
          </cell>
          <cell r="J39">
            <v>1677982.626127</v>
          </cell>
          <cell r="K39">
            <v>2146733.9303026702</v>
          </cell>
          <cell r="L39">
            <v>439348.78469574777</v>
          </cell>
          <cell r="Q39" t="str">
            <v>1.1.</v>
          </cell>
          <cell r="R39" t="str">
            <v>Vigencia</v>
          </cell>
          <cell r="S39">
            <v>1.9894899548480498</v>
          </cell>
          <cell r="T39">
            <v>2.5204860836809271</v>
          </cell>
          <cell r="U39">
            <v>2.8227288557946713</v>
          </cell>
          <cell r="V39">
            <v>2.106346166438986</v>
          </cell>
          <cell r="W39">
            <v>2.1993037327153329</v>
          </cell>
          <cell r="X39">
            <v>2.4333410299231679</v>
          </cell>
          <cell r="Y39">
            <v>2.3174310518135717</v>
          </cell>
          <cell r="Z39">
            <v>2.3870876094482947</v>
          </cell>
          <cell r="AA39">
            <v>0.40308495637435993</v>
          </cell>
        </row>
        <row r="40">
          <cell r="B40" t="str">
            <v>1.2.</v>
          </cell>
          <cell r="C40" t="str">
            <v>Reservas de apropiación</v>
          </cell>
          <cell r="D40">
            <v>44156.1</v>
          </cell>
          <cell r="E40">
            <v>131762</v>
          </cell>
          <cell r="F40">
            <v>153077.386</v>
          </cell>
          <cell r="G40">
            <v>263387.62400000001</v>
          </cell>
          <cell r="H40">
            <v>301579.3</v>
          </cell>
          <cell r="I40">
            <v>426682.572744</v>
          </cell>
          <cell r="J40">
            <v>544215.95600500004</v>
          </cell>
          <cell r="K40">
            <v>958608.97140806005</v>
          </cell>
          <cell r="L40">
            <v>1105971.7226547827</v>
          </cell>
          <cell r="Q40" t="str">
            <v>1.2.</v>
          </cell>
          <cell r="R40" t="str">
            <v>Reservas de apropiación</v>
          </cell>
          <cell r="S40">
            <v>0.29190834749152161</v>
          </cell>
          <cell r="T40">
            <v>0.65138029125986086</v>
          </cell>
          <cell r="U40">
            <v>0.58335704389173626</v>
          </cell>
          <cell r="V40">
            <v>0.79480828800087888</v>
          </cell>
          <cell r="W40">
            <v>0.69182675534199811</v>
          </cell>
          <cell r="X40">
            <v>0.74992215819590957</v>
          </cell>
          <cell r="Y40">
            <v>0.75160668275175668</v>
          </cell>
          <cell r="Z40">
            <v>1.0659372200967294</v>
          </cell>
          <cell r="AA40">
            <v>1.0146848679376657</v>
          </cell>
        </row>
        <row r="41">
          <cell r="B41" t="str">
            <v>1.3.</v>
          </cell>
          <cell r="C41" t="str">
            <v>Reservas de Tesorería</v>
          </cell>
          <cell r="D41">
            <v>93412.69200000001</v>
          </cell>
          <cell r="E41">
            <v>56080</v>
          </cell>
          <cell r="F41">
            <v>56934.872000000003</v>
          </cell>
          <cell r="G41">
            <v>108144.746</v>
          </cell>
          <cell r="H41">
            <v>123262</v>
          </cell>
          <cell r="I41">
            <v>166074.59480999998</v>
          </cell>
          <cell r="J41">
            <v>579248.11773099995</v>
          </cell>
          <cell r="K41">
            <v>933557.09828926995</v>
          </cell>
          <cell r="L41">
            <v>1077068.7349973437</v>
          </cell>
          <cell r="Q41" t="str">
            <v>1.3.</v>
          </cell>
          <cell r="R41" t="str">
            <v>Reservas de Tesorería</v>
          </cell>
          <cell r="S41">
            <v>0.61753516629535865</v>
          </cell>
          <cell r="T41">
            <v>0.27723779795277087</v>
          </cell>
          <cell r="U41">
            <v>0.21697103335873782</v>
          </cell>
          <cell r="V41">
            <v>0.32634160678920082</v>
          </cell>
          <cell r="W41">
            <v>0.28276459795803421</v>
          </cell>
          <cell r="X41">
            <v>0.29188681825106888</v>
          </cell>
          <cell r="Y41">
            <v>0.79998895926159852</v>
          </cell>
          <cell r="Z41">
            <v>1.0380804768500695</v>
          </cell>
          <cell r="AA41">
            <v>0.98816753154158254</v>
          </cell>
        </row>
        <row r="42">
          <cell r="B42" t="str">
            <v>1.4.</v>
          </cell>
          <cell r="C42" t="str">
            <v>Deuda Flotante</v>
          </cell>
          <cell r="D42">
            <v>-37332.69200000001</v>
          </cell>
          <cell r="E42">
            <v>854.87200000000303</v>
          </cell>
          <cell r="F42">
            <v>51209.873999999996</v>
          </cell>
          <cell r="G42">
            <v>15117.254000000001</v>
          </cell>
          <cell r="H42">
            <v>42812.59480999998</v>
          </cell>
          <cell r="I42">
            <v>413173.52292099997</v>
          </cell>
          <cell r="J42">
            <v>354308.98055827001</v>
          </cell>
          <cell r="K42">
            <v>143511.63670807378</v>
          </cell>
          <cell r="L42">
            <v>-336209.16604026826</v>
          </cell>
          <cell r="Q42" t="str">
            <v>1.4.</v>
          </cell>
          <cell r="R42" t="str">
            <v>Deuda Flotante</v>
          </cell>
          <cell r="S42">
            <v>-0.24679997620102212</v>
          </cell>
          <cell r="T42">
            <v>4.2261560415742154E-3</v>
          </cell>
          <cell r="U42">
            <v>0.19515384666098415</v>
          </cell>
          <cell r="V42">
            <v>4.5618387791122782E-2</v>
          </cell>
          <cell r="W42">
            <v>9.8212637787719381E-2</v>
          </cell>
          <cell r="X42">
            <v>0.72617913130524148</v>
          </cell>
          <cell r="Y42">
            <v>0.48932963947148822</v>
          </cell>
          <cell r="Z42">
            <v>0.15957955709452451</v>
          </cell>
          <cell r="AA42">
            <v>-0.30845847706134122</v>
          </cell>
        </row>
        <row r="44">
          <cell r="A44" t="str">
            <v>TOTAL</v>
          </cell>
          <cell r="D44">
            <v>2557359.9179999996</v>
          </cell>
          <cell r="E44">
            <v>3722729.2560000001</v>
          </cell>
          <cell r="F44">
            <v>5028291.368999999</v>
          </cell>
          <cell r="G44">
            <v>6999904.296000001</v>
          </cell>
          <cell r="H44">
            <v>10267718.256239997</v>
          </cell>
          <cell r="I44">
            <v>13362172.286022998</v>
          </cell>
          <cell r="J44">
            <v>18831778.02793254</v>
          </cell>
          <cell r="K44">
            <v>25766957.505246505</v>
          </cell>
          <cell r="L44">
            <v>36855672.000612743</v>
          </cell>
          <cell r="P44" t="str">
            <v>TOTAL</v>
          </cell>
          <cell r="S44">
            <v>16.906264538861745</v>
          </cell>
          <cell r="T44">
            <v>18.403731478384401</v>
          </cell>
          <cell r="U44">
            <v>19.16213273230424</v>
          </cell>
          <cell r="V44">
            <v>21.123171488398242</v>
          </cell>
          <cell r="W44">
            <v>23.554276457238004</v>
          </cell>
          <cell r="X44">
            <v>23.484880140469357</v>
          </cell>
          <cell r="Y44">
            <v>26.008223496044923</v>
          </cell>
          <cell r="Z44">
            <v>28.651890262563928</v>
          </cell>
          <cell r="AA44">
            <v>33.813606542243129</v>
          </cell>
        </row>
        <row r="45">
          <cell r="C45" t="str">
            <v>Vigencia</v>
          </cell>
          <cell r="D45">
            <v>2272076.5039999997</v>
          </cell>
          <cell r="E45">
            <v>3302176</v>
          </cell>
          <cell r="F45">
            <v>4628191.3469999991</v>
          </cell>
          <cell r="G45">
            <v>6291665.8440000005</v>
          </cell>
          <cell r="H45">
            <v>9373474.9999999981</v>
          </cell>
          <cell r="I45">
            <v>11670494.857997</v>
          </cell>
          <cell r="J45">
            <v>16469406.425021999</v>
          </cell>
          <cell r="K45">
            <v>21232333.953963906</v>
          </cell>
          <cell r="L45">
            <v>31138731.894625232</v>
          </cell>
          <cell r="R45" t="str">
            <v>Vigencia</v>
          </cell>
          <cell r="S45">
            <v>15.02030518222745</v>
          </cell>
          <cell r="T45">
            <v>16.324679077968778</v>
          </cell>
          <cell r="U45">
            <v>17.637406107465363</v>
          </cell>
          <cell r="V45">
            <v>18.985964800469304</v>
          </cell>
          <cell r="W45">
            <v>21.502871037665166</v>
          </cell>
          <cell r="X45">
            <v>20.511647885779386</v>
          </cell>
          <cell r="Y45">
            <v>22.745595371495362</v>
          </cell>
          <cell r="Z45">
            <v>23.609558961053754</v>
          </cell>
          <cell r="AA45">
            <v>28.568542407577031</v>
          </cell>
        </row>
        <row r="46">
          <cell r="C46" t="str">
            <v>Reservas de apropiación</v>
          </cell>
          <cell r="D46">
            <v>83376.41399999999</v>
          </cell>
          <cell r="E46">
            <v>216155</v>
          </cell>
          <cell r="F46">
            <v>221817.58899999998</v>
          </cell>
          <cell r="G46">
            <v>374226.598</v>
          </cell>
          <cell r="H46">
            <v>409219.1</v>
          </cell>
          <cell r="I46">
            <v>630987.60453799996</v>
          </cell>
          <cell r="J46">
            <v>744073.92789699999</v>
          </cell>
          <cell r="K46">
            <v>1154768.3710225602</v>
          </cell>
          <cell r="L46">
            <v>2065027.499342344</v>
          </cell>
          <cell r="R46" t="str">
            <v>Reservas de apropiación</v>
          </cell>
          <cell r="S46">
            <v>0.55118706657764083</v>
          </cell>
          <cell r="T46">
            <v>1.0685865944450998</v>
          </cell>
          <cell r="U46">
            <v>0.84531658387628927</v>
          </cell>
          <cell r="V46">
            <v>1.1292800973851873</v>
          </cell>
          <cell r="W46">
            <v>0.9387538275238807</v>
          </cell>
          <cell r="X46">
            <v>1.109001436704818</v>
          </cell>
          <cell r="Y46">
            <v>1.0276268648462701</v>
          </cell>
          <cell r="Z46">
            <v>1.2840591147977511</v>
          </cell>
          <cell r="AA46">
            <v>1.8945802252774924</v>
          </cell>
        </row>
        <row r="47">
          <cell r="C47" t="str">
            <v>Reservas de Tesorería</v>
          </cell>
          <cell r="D47">
            <v>198262.264</v>
          </cell>
          <cell r="E47">
            <v>201907</v>
          </cell>
          <cell r="F47">
            <v>204398.25600000002</v>
          </cell>
          <cell r="G47">
            <v>178282.43299999999</v>
          </cell>
          <cell r="H47">
            <v>334011.85399999999</v>
          </cell>
          <cell r="I47">
            <v>485024.15623999998</v>
          </cell>
          <cell r="J47">
            <v>1060689.8234879998</v>
          </cell>
          <cell r="K47">
            <v>1618297.6750135398</v>
          </cell>
          <cell r="L47">
            <v>3379855.1802600399</v>
          </cell>
          <cell r="R47" t="str">
            <v>Reservas de Tesorería</v>
          </cell>
          <cell r="S47">
            <v>1.3106775701243496</v>
          </cell>
          <cell r="T47">
            <v>0.99815000127050846</v>
          </cell>
          <cell r="U47">
            <v>0.7789338811729275</v>
          </cell>
          <cell r="V47">
            <v>0.53799169908363409</v>
          </cell>
          <cell r="W47">
            <v>0.7662274473035291</v>
          </cell>
          <cell r="X47">
            <v>0.85246125635152425</v>
          </cell>
          <cell r="Y47">
            <v>1.4648992754873165</v>
          </cell>
          <cell r="Z47">
            <v>1.7994863144866549</v>
          </cell>
          <cell r="AA47">
            <v>3.1008820903652272</v>
          </cell>
        </row>
        <row r="48">
          <cell r="C48" t="str">
            <v>Deuda Flotante</v>
          </cell>
          <cell r="D48">
            <v>3644.7359999999971</v>
          </cell>
          <cell r="E48">
            <v>2491.2560000000012</v>
          </cell>
          <cell r="F48">
            <v>-26115.823000000004</v>
          </cell>
          <cell r="G48">
            <v>155729.42100000003</v>
          </cell>
          <cell r="H48">
            <v>151012.30223999999</v>
          </cell>
          <cell r="I48">
            <v>575665.66724799993</v>
          </cell>
          <cell r="J48">
            <v>557607.85152554</v>
          </cell>
          <cell r="K48">
            <v>1761557.5052465</v>
          </cell>
          <cell r="L48">
            <v>272057.42638512759</v>
          </cell>
          <cell r="R48" t="str">
            <v>Deuda Flotante</v>
          </cell>
          <cell r="S48">
            <v>2.4094719932305109E-2</v>
          </cell>
          <cell r="T48">
            <v>1.2315804700011208E-2</v>
          </cell>
          <cell r="U48">
            <v>-9.9523840210335307E-2</v>
          </cell>
          <cell r="V48">
            <v>0.46993489146011708</v>
          </cell>
          <cell r="W48">
            <v>0.34642414474542632</v>
          </cell>
          <cell r="X48">
            <v>1.0117695616336349</v>
          </cell>
          <cell r="Y48">
            <v>0.77010198421597664</v>
          </cell>
          <cell r="Z48">
            <v>1.9587858722257692</v>
          </cell>
          <cell r="AA48">
            <v>0.24960181902337952</v>
          </cell>
        </row>
        <row r="50">
          <cell r="Q50" t="str">
            <v>PIB</v>
          </cell>
          <cell r="S50">
            <v>15126700</v>
          </cell>
          <cell r="T50">
            <v>20228122</v>
          </cell>
          <cell r="U50">
            <v>26240771</v>
          </cell>
          <cell r="V50">
            <v>33138510</v>
          </cell>
          <cell r="W50">
            <v>43591737.045630313</v>
          </cell>
          <cell r="X50">
            <v>56896914.977212004</v>
          </cell>
          <cell r="Y50">
            <v>72407014</v>
          </cell>
          <cell r="Z50">
            <v>89931091</v>
          </cell>
          <cell r="AA50">
            <v>108996572</v>
          </cell>
        </row>
        <row r="51">
          <cell r="A51" t="str">
            <v>C:\CARLOSJ\PRES9194\PAGOS.XLS</v>
          </cell>
          <cell r="I51" t="str">
            <v>Rango FMI 1</v>
          </cell>
          <cell r="P51" t="str">
            <v>C:\CARLOSJ\PRES9194\PAGOS.XLS</v>
          </cell>
          <cell r="X51" t="str">
            <v>Rango FMI 2</v>
          </cell>
        </row>
      </sheetData>
      <sheetData sheetId="1" refreshError="1">
        <row r="2">
          <cell r="A2" t="str">
            <v>PAGOS POR NUMERALES CON RECURSOS DE LA NACION</v>
          </cell>
        </row>
        <row r="3">
          <cell r="A3" t="str">
            <v>Clasificación anterior al Decreto 568 de 1996</v>
          </cell>
        </row>
        <row r="4">
          <cell r="A4" t="str">
            <v>Millones de pesos</v>
          </cell>
        </row>
        <row r="6">
          <cell r="A6" t="str">
            <v/>
          </cell>
          <cell r="AE6" t="str">
            <v>Proyección</v>
          </cell>
          <cell r="AH6" t="str">
            <v>Proyección</v>
          </cell>
          <cell r="AJ6" t="str">
            <v>TASAS DE CRECIMIENTO</v>
          </cell>
        </row>
        <row r="7">
          <cell r="A7" t="str">
            <v>CONCEPTOS</v>
          </cell>
          <cell r="D7">
            <v>1970</v>
          </cell>
          <cell r="E7">
            <v>1971</v>
          </cell>
          <cell r="F7">
            <v>1972</v>
          </cell>
          <cell r="G7">
            <v>1973</v>
          </cell>
          <cell r="H7">
            <v>1974</v>
          </cell>
          <cell r="I7">
            <v>1975</v>
          </cell>
          <cell r="J7">
            <v>1976</v>
          </cell>
          <cell r="K7">
            <v>1977</v>
          </cell>
          <cell r="L7">
            <v>1978</v>
          </cell>
          <cell r="M7">
            <v>1979</v>
          </cell>
          <cell r="N7">
            <v>1980</v>
          </cell>
          <cell r="O7">
            <v>1981</v>
          </cell>
          <cell r="P7">
            <v>1982</v>
          </cell>
          <cell r="Q7">
            <v>1983</v>
          </cell>
          <cell r="R7">
            <v>1984</v>
          </cell>
          <cell r="S7">
            <v>1985</v>
          </cell>
          <cell r="T7">
            <v>1986</v>
          </cell>
          <cell r="U7">
            <v>1987</v>
          </cell>
          <cell r="V7">
            <v>1988</v>
          </cell>
          <cell r="W7">
            <v>1989</v>
          </cell>
          <cell r="X7">
            <v>1990</v>
          </cell>
          <cell r="Y7">
            <v>1991</v>
          </cell>
          <cell r="Z7">
            <v>1992</v>
          </cell>
          <cell r="AA7">
            <v>1993</v>
          </cell>
          <cell r="AB7">
            <v>1994</v>
          </cell>
          <cell r="AC7">
            <v>1995</v>
          </cell>
          <cell r="AD7">
            <v>1996</v>
          </cell>
          <cell r="AE7">
            <v>1997</v>
          </cell>
          <cell r="AH7">
            <v>1998</v>
          </cell>
          <cell r="AJ7" t="str">
            <v>91/90</v>
          </cell>
          <cell r="AK7" t="str">
            <v>92/91</v>
          </cell>
          <cell r="AL7" t="str">
            <v>93/92</v>
          </cell>
          <cell r="AM7" t="str">
            <v>94/93</v>
          </cell>
          <cell r="AN7" t="str">
            <v>95/94</v>
          </cell>
          <cell r="AO7" t="str">
            <v>96/95</v>
          </cell>
          <cell r="AP7" t="str">
            <v>97/96</v>
          </cell>
          <cell r="AQ7" t="str">
            <v>97/96</v>
          </cell>
          <cell r="AR7" t="str">
            <v>97/97</v>
          </cell>
          <cell r="AS7" t="str">
            <v>98/97</v>
          </cell>
        </row>
        <row r="8">
          <cell r="AE8" t="str">
            <v>Dic-20-96</v>
          </cell>
          <cell r="AF8" t="str">
            <v>Mayo</v>
          </cell>
          <cell r="AG8" t="str">
            <v>cierre</v>
          </cell>
          <cell r="AH8" t="str">
            <v>Junio 19/97</v>
          </cell>
          <cell r="AP8" t="str">
            <v>Di20/96</v>
          </cell>
          <cell r="AQ8" t="str">
            <v>Mayo/97</v>
          </cell>
          <cell r="AR8">
            <v>35582</v>
          </cell>
          <cell r="AS8">
            <v>35582</v>
          </cell>
        </row>
        <row r="10">
          <cell r="A10" t="str">
            <v>FUNCIONAMIENTO</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1130234.436</v>
          </cell>
          <cell r="X10">
            <v>1548761.1129999999</v>
          </cell>
          <cell r="Y10">
            <v>1997227</v>
          </cell>
          <cell r="Z10">
            <v>2886633.1660000002</v>
          </cell>
          <cell r="AA10">
            <v>4303008.3059999999</v>
          </cell>
          <cell r="AB10">
            <v>6242190.2539999997</v>
          </cell>
          <cell r="AC10">
            <v>8186211.6855740007</v>
          </cell>
          <cell r="AD10">
            <v>10546775.576811001</v>
          </cell>
          <cell r="AE10">
            <v>12471901</v>
          </cell>
          <cell r="AF10">
            <v>12965872</v>
          </cell>
          <cell r="AG10">
            <v>12791900</v>
          </cell>
          <cell r="AH10">
            <v>19063262.234000001</v>
          </cell>
          <cell r="AJ10">
            <v>28.95642738158033</v>
          </cell>
          <cell r="AK10">
            <v>44.532051990084256</v>
          </cell>
          <cell r="AL10">
            <v>49.066682829071318</v>
          </cell>
          <cell r="AM10">
            <v>45.065726350006251</v>
          </cell>
          <cell r="AN10">
            <v>31.143258255037498</v>
          </cell>
          <cell r="AO10">
            <v>28.835852063254851</v>
          </cell>
          <cell r="AP10">
            <v>18.253213118725476</v>
          </cell>
          <cell r="AQ10">
            <v>22.936834159132214</v>
          </cell>
          <cell r="AR10">
            <v>21.287306313081245</v>
          </cell>
          <cell r="AS10">
            <v>49.026041745166872</v>
          </cell>
        </row>
        <row r="11">
          <cell r="A11" t="str">
            <v>1.</v>
          </cell>
          <cell r="B11" t="str">
            <v>SERVICIOS PERSONALES</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288550.58299999998</v>
          </cell>
          <cell r="X11">
            <v>450682.85099999997</v>
          </cell>
          <cell r="Y11">
            <v>565857</v>
          </cell>
          <cell r="Z11">
            <v>788827.1179999999</v>
          </cell>
          <cell r="AA11">
            <v>1165355.1440000001</v>
          </cell>
          <cell r="AB11">
            <v>1627946.0999999999</v>
          </cell>
          <cell r="AC11">
            <v>2072016.50178</v>
          </cell>
          <cell r="AD11">
            <v>2551305.8536439999</v>
          </cell>
          <cell r="AE11">
            <v>2827001</v>
          </cell>
          <cell r="AF11">
            <v>3038901</v>
          </cell>
          <cell r="AG11">
            <v>3741100</v>
          </cell>
          <cell r="AH11">
            <v>4131300</v>
          </cell>
          <cell r="AJ11">
            <v>25.555476261065913</v>
          </cell>
          <cell r="AK11">
            <v>39.403969200699109</v>
          </cell>
          <cell r="AL11">
            <v>47.732642223894771</v>
          </cell>
          <cell r="AM11">
            <v>39.6952773050959</v>
          </cell>
          <cell r="AN11">
            <v>27.277954827865635</v>
          </cell>
          <cell r="AO11">
            <v>23.131541252314271</v>
          </cell>
          <cell r="AP11">
            <v>10.806040599257361</v>
          </cell>
          <cell r="AQ11">
            <v>19.111591252752923</v>
          </cell>
          <cell r="AR11">
            <v>46.634712363342537</v>
          </cell>
          <cell r="AS11">
            <v>10.430087407446997</v>
          </cell>
        </row>
        <row r="12">
          <cell r="B12" t="str">
            <v>1.1.</v>
          </cell>
          <cell r="C12" t="str">
            <v>Vigencia</v>
          </cell>
          <cell r="W12">
            <v>286526.09999999998</v>
          </cell>
          <cell r="X12">
            <v>448435.77999999997</v>
          </cell>
          <cell r="Y12">
            <v>561895</v>
          </cell>
          <cell r="Z12">
            <v>780872.06299999997</v>
          </cell>
          <cell r="AA12">
            <v>1155639.1529999999</v>
          </cell>
          <cell r="AB12">
            <v>1614299.4</v>
          </cell>
          <cell r="AC12">
            <v>2058168.3357800001</v>
          </cell>
          <cell r="AD12">
            <v>2533434</v>
          </cell>
          <cell r="AE12">
            <v>2801601</v>
          </cell>
          <cell r="AF12">
            <v>3013501</v>
          </cell>
          <cell r="AG12">
            <v>3720242.9032626296</v>
          </cell>
          <cell r="AH12">
            <v>4025801.5790410009</v>
          </cell>
          <cell r="AJ12">
            <v>25.301107775120002</v>
          </cell>
          <cell r="AK12">
            <v>38.971171304247235</v>
          </cell>
          <cell r="AL12">
            <v>47.993404778780004</v>
          </cell>
          <cell r="AM12">
            <v>39.688880894121105</v>
          </cell>
          <cell r="AN12">
            <v>27.49607264798588</v>
          </cell>
          <cell r="AO12">
            <v>23.091680887213961</v>
          </cell>
          <cell r="AP12">
            <v>10.585118854487629</v>
          </cell>
          <cell r="AQ12">
            <v>18.949260174135183</v>
          </cell>
          <cell r="AR12">
            <v>46.845858359153226</v>
          </cell>
          <cell r="AS12">
            <v>8.2134065899406306</v>
          </cell>
        </row>
        <row r="13">
          <cell r="B13" t="str">
            <v>1.2.</v>
          </cell>
          <cell r="C13" t="str">
            <v>Reservas de apropiación</v>
          </cell>
          <cell r="W13">
            <v>0</v>
          </cell>
          <cell r="X13">
            <v>858.06499999999994</v>
          </cell>
          <cell r="Y13">
            <v>974</v>
          </cell>
          <cell r="Z13">
            <v>445.137</v>
          </cell>
          <cell r="AA13">
            <v>4114.1580000000004</v>
          </cell>
          <cell r="AB13">
            <v>4524.2</v>
          </cell>
          <cell r="AC13">
            <v>8374.0679999999993</v>
          </cell>
          <cell r="AD13">
            <v>4569.7269999999999</v>
          </cell>
          <cell r="AE13">
            <v>6300</v>
          </cell>
          <cell r="AF13">
            <v>6300</v>
          </cell>
          <cell r="AG13">
            <v>6443.6396408199998</v>
          </cell>
          <cell r="AH13">
            <v>9822.3828690355003</v>
          </cell>
          <cell r="AI13">
            <v>7001.4620601623456</v>
          </cell>
          <cell r="AJ13">
            <v>13.511214185405551</v>
          </cell>
          <cell r="AK13">
            <v>-54.298049281314164</v>
          </cell>
          <cell r="AL13">
            <v>824.24534469163427</v>
          </cell>
          <cell r="AM13">
            <v>9.9666079912341665</v>
          </cell>
          <cell r="AN13">
            <v>85.09500022103353</v>
          </cell>
          <cell r="AO13">
            <v>-45.430022779848457</v>
          </cell>
          <cell r="AP13">
            <v>37.863815497074562</v>
          </cell>
          <cell r="AQ13">
            <v>37.863815497074562</v>
          </cell>
          <cell r="AR13">
            <v>41.007102630419709</v>
          </cell>
          <cell r="AS13">
            <v>52.435322528147019</v>
          </cell>
        </row>
        <row r="14">
          <cell r="B14" t="str">
            <v>1.3.</v>
          </cell>
          <cell r="C14" t="str">
            <v>Reservas de Tesorería</v>
          </cell>
          <cell r="W14">
            <v>2024.4829999999999</v>
          </cell>
          <cell r="X14">
            <v>1389.0060000000001</v>
          </cell>
          <cell r="Y14">
            <v>2988</v>
          </cell>
          <cell r="Z14">
            <v>7509.9179999999997</v>
          </cell>
          <cell r="AA14">
            <v>5601.8329999999996</v>
          </cell>
          <cell r="AB14">
            <v>9122.5</v>
          </cell>
          <cell r="AC14">
            <v>5474.098</v>
          </cell>
          <cell r="AD14">
            <v>13302.126644</v>
          </cell>
          <cell r="AE14">
            <v>19100</v>
          </cell>
          <cell r="AF14">
            <v>19100</v>
          </cell>
          <cell r="AG14">
            <v>14413.457096550001</v>
          </cell>
          <cell r="AH14">
            <v>95676.038089963811</v>
          </cell>
          <cell r="AI14">
            <v>68198.537939837654</v>
          </cell>
          <cell r="AJ14">
            <v>115.11786126193839</v>
          </cell>
          <cell r="AK14">
            <v>151.33594377510039</v>
          </cell>
          <cell r="AL14">
            <v>-25.407534409829779</v>
          </cell>
          <cell r="AM14">
            <v>62.84848191654411</v>
          </cell>
          <cell r="AN14">
            <v>-39.993444779391616</v>
          </cell>
          <cell r="AO14">
            <v>143.00125142078204</v>
          </cell>
          <cell r="AP14">
            <v>43.586063425543784</v>
          </cell>
          <cell r="AQ14">
            <v>43.586063425543784</v>
          </cell>
          <cell r="AR14">
            <v>8.3545321909205494</v>
          </cell>
          <cell r="AS14">
            <v>563.79659958792809</v>
          </cell>
        </row>
        <row r="15">
          <cell r="A15" t="str">
            <v>2.</v>
          </cell>
          <cell r="B15" t="str">
            <v>GASTOS GENERALES</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70047.97</v>
          </cell>
          <cell r="X15">
            <v>78613.885999999999</v>
          </cell>
          <cell r="Y15">
            <v>142240</v>
          </cell>
          <cell r="Z15">
            <v>211058.32</v>
          </cell>
          <cell r="AA15">
            <v>323984.92000000004</v>
          </cell>
          <cell r="AB15">
            <v>505133.27799999999</v>
          </cell>
          <cell r="AC15">
            <v>596351.93934400007</v>
          </cell>
          <cell r="AD15">
            <v>701922.21839000005</v>
          </cell>
          <cell r="AE15">
            <v>788600</v>
          </cell>
          <cell r="AF15">
            <v>790371</v>
          </cell>
          <cell r="AG15">
            <v>868000</v>
          </cell>
          <cell r="AH15">
            <v>1047823.0000000001</v>
          </cell>
          <cell r="AJ15">
            <v>80.93495594404277</v>
          </cell>
          <cell r="AK15">
            <v>48.381833520809913</v>
          </cell>
          <cell r="AL15">
            <v>53.504926979424461</v>
          </cell>
          <cell r="AM15">
            <v>55.912589388419654</v>
          </cell>
          <cell r="AN15">
            <v>18.058335357584589</v>
          </cell>
          <cell r="AO15">
            <v>17.702680595309129</v>
          </cell>
          <cell r="AP15">
            <v>12.348630566049446</v>
          </cell>
          <cell r="AQ15">
            <v>12.600937723965355</v>
          </cell>
          <cell r="AR15">
            <v>23.660425223599969</v>
          </cell>
          <cell r="AS15">
            <v>20.716935483870991</v>
          </cell>
        </row>
        <row r="16">
          <cell r="B16" t="str">
            <v>2.1.</v>
          </cell>
          <cell r="C16" t="str">
            <v>Vigencia</v>
          </cell>
          <cell r="W16">
            <v>49524.1</v>
          </cell>
          <cell r="X16">
            <v>60562.438000000002</v>
          </cell>
          <cell r="Y16">
            <v>112505</v>
          </cell>
          <cell r="Z16">
            <v>176720.44200000001</v>
          </cell>
          <cell r="AA16">
            <v>258642.916</v>
          </cell>
          <cell r="AB16">
            <v>399005.9</v>
          </cell>
          <cell r="AC16">
            <v>508771.81699999998</v>
          </cell>
          <cell r="AD16">
            <v>567045.63896799996</v>
          </cell>
          <cell r="AE16">
            <v>585500</v>
          </cell>
          <cell r="AF16">
            <v>587771</v>
          </cell>
          <cell r="AG16">
            <v>675253.51317078003</v>
          </cell>
          <cell r="AH16">
            <v>770641.77358200005</v>
          </cell>
          <cell r="AJ16">
            <v>85.766960042130407</v>
          </cell>
          <cell r="AK16">
            <v>57.077856095284659</v>
          </cell>
          <cell r="AL16">
            <v>46.357101121329251</v>
          </cell>
          <cell r="AM16">
            <v>54.269023165513651</v>
          </cell>
          <cell r="AN16">
            <v>27.509848099990485</v>
          </cell>
          <cell r="AO16">
            <v>11.453822719901163</v>
          </cell>
          <cell r="AP16">
            <v>3.2544754361547135</v>
          </cell>
          <cell r="AQ16">
            <v>3.6549722998874268</v>
          </cell>
          <cell r="AR16">
            <v>19.082745156053747</v>
          </cell>
          <cell r="AS16">
            <v>14.126288653176555</v>
          </cell>
        </row>
        <row r="17">
          <cell r="B17" t="str">
            <v>2.2.</v>
          </cell>
          <cell r="C17" t="str">
            <v>Reservas de apropiación</v>
          </cell>
          <cell r="W17">
            <v>0</v>
          </cell>
          <cell r="X17">
            <v>10424.849</v>
          </cell>
          <cell r="Y17">
            <v>12493</v>
          </cell>
          <cell r="Z17">
            <v>24202.214</v>
          </cell>
          <cell r="AA17">
            <v>44751.06</v>
          </cell>
          <cell r="AB17">
            <v>77700.800000000003</v>
          </cell>
          <cell r="AC17">
            <v>67560.148344000001</v>
          </cell>
          <cell r="AD17">
            <v>52550.792460999997</v>
          </cell>
          <cell r="AE17">
            <v>77294</v>
          </cell>
          <cell r="AF17">
            <v>81600</v>
          </cell>
          <cell r="AG17">
            <v>65501.099445650005</v>
          </cell>
          <cell r="AH17">
            <v>94194.583645818668</v>
          </cell>
          <cell r="AI17">
            <v>102594.77227288127</v>
          </cell>
          <cell r="AJ17">
            <v>19.83866624830728</v>
          </cell>
          <cell r="AK17">
            <v>93.726198671255915</v>
          </cell>
          <cell r="AL17">
            <v>84.904819038456552</v>
          </cell>
          <cell r="AM17">
            <v>73.628959850336528</v>
          </cell>
          <cell r="AN17">
            <v>-13.050897360130143</v>
          </cell>
          <cell r="AO17">
            <v>-22.216286155228637</v>
          </cell>
          <cell r="AP17">
            <v>47.084366153684364</v>
          </cell>
          <cell r="AQ17">
            <v>55.278343443742649</v>
          </cell>
          <cell r="AR17">
            <v>24.643409505690972</v>
          </cell>
          <cell r="AS17">
            <v>43.806110802731311</v>
          </cell>
        </row>
        <row r="18">
          <cell r="B18" t="str">
            <v>2.3.</v>
          </cell>
          <cell r="C18" t="str">
            <v>Reservas de Tesorería</v>
          </cell>
          <cell r="W18">
            <v>20523.870000000003</v>
          </cell>
          <cell r="X18">
            <v>7626.5989999999993</v>
          </cell>
          <cell r="Y18">
            <v>17242</v>
          </cell>
          <cell r="Z18">
            <v>10135.664000000001</v>
          </cell>
          <cell r="AA18">
            <v>20590.944</v>
          </cell>
          <cell r="AB18">
            <v>28426.578000000001</v>
          </cell>
          <cell r="AC18">
            <v>20019.974000000002</v>
          </cell>
          <cell r="AD18">
            <v>82325.786961000005</v>
          </cell>
          <cell r="AE18">
            <v>125806</v>
          </cell>
          <cell r="AF18">
            <v>121000</v>
          </cell>
          <cell r="AG18">
            <v>127245.38738357001</v>
          </cell>
          <cell r="AH18">
            <v>182986.6427721814</v>
          </cell>
          <cell r="AI18">
            <v>199305.22772711873</v>
          </cell>
          <cell r="AJ18">
            <v>126.07718066729352</v>
          </cell>
          <cell r="AK18">
            <v>-41.215265050458186</v>
          </cell>
          <cell r="AL18">
            <v>103.15337998576118</v>
          </cell>
          <cell r="AM18">
            <v>38.053787140599304</v>
          </cell>
          <cell r="AN18">
            <v>-29.573042523795856</v>
          </cell>
          <cell r="AO18">
            <v>311.21825113758888</v>
          </cell>
          <cell r="AP18">
            <v>52.814816163977611</v>
          </cell>
          <cell r="AQ18">
            <v>46.977034130655859</v>
          </cell>
          <cell r="AR18">
            <v>54.563220202012339</v>
          </cell>
          <cell r="AS18">
            <v>43.806110802731332</v>
          </cell>
        </row>
        <row r="19">
          <cell r="A19" t="str">
            <v>3.</v>
          </cell>
          <cell r="B19" t="str">
            <v>TRANSFERENCIAS</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771635.88300000003</v>
          </cell>
          <cell r="X19">
            <v>1019464.3759999999</v>
          </cell>
          <cell r="Y19">
            <v>1289130</v>
          </cell>
          <cell r="Z19">
            <v>1886747.7280000001</v>
          </cell>
          <cell r="AA19">
            <v>2813668.2420000001</v>
          </cell>
          <cell r="AB19">
            <v>4109110.8759999997</v>
          </cell>
          <cell r="AC19">
            <v>5517843.2444500001</v>
          </cell>
          <cell r="AD19">
            <v>7293547.5047770003</v>
          </cell>
          <cell r="AE19">
            <v>8856300</v>
          </cell>
          <cell r="AF19">
            <v>9136600</v>
          </cell>
          <cell r="AG19">
            <v>8182800</v>
          </cell>
          <cell r="AH19">
            <v>13884139.234000001</v>
          </cell>
          <cell r="AJ19">
            <v>26.451696630937516</v>
          </cell>
          <cell r="AK19">
            <v>46.358220505302029</v>
          </cell>
          <cell r="AL19">
            <v>49.127951778829427</v>
          </cell>
          <cell r="AM19">
            <v>46.041058240724865</v>
          </cell>
          <cell r="AN19">
            <v>34.283143262888217</v>
          </cell>
          <cell r="AO19">
            <v>32.181129141590837</v>
          </cell>
          <cell r="AP19">
            <v>21.426507391628768</v>
          </cell>
          <cell r="AQ19">
            <v>25.269630368704242</v>
          </cell>
          <cell r="AR19">
            <v>12.192317862337543</v>
          </cell>
          <cell r="AS19">
            <v>69.674674121327683</v>
          </cell>
        </row>
        <row r="20">
          <cell r="B20" t="str">
            <v>3.1.</v>
          </cell>
          <cell r="C20" t="str">
            <v>Vigencia</v>
          </cell>
          <cell r="W20">
            <v>715945</v>
          </cell>
          <cell r="X20">
            <v>916032.97599999991</v>
          </cell>
          <cell r="Y20">
            <v>1191613</v>
          </cell>
          <cell r="Z20">
            <v>1764629.9180000001</v>
          </cell>
          <cell r="AA20">
            <v>2728808.7370000002</v>
          </cell>
          <cell r="AB20">
            <v>4015879</v>
          </cell>
          <cell r="AC20">
            <v>5203311.62</v>
          </cell>
          <cell r="AD20">
            <v>6804539.1954640001</v>
          </cell>
          <cell r="AE20">
            <v>8147300</v>
          </cell>
          <cell r="AF20">
            <v>8414000</v>
          </cell>
          <cell r="AG20">
            <v>7561255.3762968201</v>
          </cell>
          <cell r="AH20">
            <v>11980966.199272001</v>
          </cell>
          <cell r="AJ20">
            <v>30.084072431907739</v>
          </cell>
          <cell r="AK20">
            <v>48.087501395167735</v>
          </cell>
          <cell r="AL20">
            <v>54.639151765758513</v>
          </cell>
          <cell r="AM20">
            <v>47.166012243678914</v>
          </cell>
          <cell r="AN20">
            <v>29.568436200393489</v>
          </cell>
          <cell r="AO20">
            <v>30.773240051765338</v>
          </cell>
          <cell r="AP20">
            <v>19.733309868081928</v>
          </cell>
          <cell r="AQ20">
            <v>23.652752351090701</v>
          </cell>
          <cell r="AR20">
            <v>11.120755705797936</v>
          </cell>
          <cell r="AS20">
            <v>58.452077109181921</v>
          </cell>
        </row>
        <row r="21">
          <cell r="B21" t="str">
            <v>3.2.</v>
          </cell>
          <cell r="C21" t="str">
            <v>Reservas de apropiación</v>
          </cell>
          <cell r="W21">
            <v>0</v>
          </cell>
          <cell r="X21">
            <v>27937.4</v>
          </cell>
          <cell r="Y21">
            <v>67827</v>
          </cell>
          <cell r="Z21">
            <v>44092.851999999999</v>
          </cell>
          <cell r="AA21">
            <v>61973.756000000001</v>
          </cell>
          <cell r="AB21">
            <v>25414.799999999999</v>
          </cell>
          <cell r="AC21">
            <v>128370.81544999999</v>
          </cell>
          <cell r="AD21">
            <v>142737.45243100001</v>
          </cell>
          <cell r="AE21">
            <v>209122</v>
          </cell>
          <cell r="AF21">
            <v>226100</v>
          </cell>
          <cell r="AG21">
            <v>123754.56052803001</v>
          </cell>
          <cell r="AH21">
            <v>855038.81017270719</v>
          </cell>
          <cell r="AI21">
            <v>498150.72797886416</v>
          </cell>
          <cell r="AJ21">
            <v>142.78207707231167</v>
          </cell>
          <cell r="AK21">
            <v>-34.992183053946071</v>
          </cell>
          <cell r="AL21">
            <v>40.552840628226996</v>
          </cell>
          <cell r="AM21">
            <v>-58.991028395955226</v>
          </cell>
          <cell r="AN21">
            <v>405.10259946960036</v>
          </cell>
          <cell r="AO21">
            <v>11.191513375246709</v>
          </cell>
          <cell r="AP21">
            <v>46.508149359811938</v>
          </cell>
          <cell r="AQ21">
            <v>58.402715019239857</v>
          </cell>
          <cell r="AR21">
            <v>-13.299166812681085</v>
          </cell>
          <cell r="AS21">
            <v>590.91499054618168</v>
          </cell>
        </row>
        <row r="22">
          <cell r="B22" t="str">
            <v>3.3.</v>
          </cell>
          <cell r="C22" t="str">
            <v>Reservas de Tesorería</v>
          </cell>
          <cell r="W22">
            <v>55690.883000000002</v>
          </cell>
          <cell r="X22">
            <v>75494</v>
          </cell>
          <cell r="Y22">
            <v>29690</v>
          </cell>
          <cell r="Z22">
            <v>78024.957999999999</v>
          </cell>
          <cell r="AA22">
            <v>22885.749</v>
          </cell>
          <cell r="AB22">
            <v>67817.076000000001</v>
          </cell>
          <cell r="AC22">
            <v>186160.80899999998</v>
          </cell>
          <cell r="AD22">
            <v>346270.85688199999</v>
          </cell>
          <cell r="AE22">
            <v>499878</v>
          </cell>
          <cell r="AF22">
            <v>496500</v>
          </cell>
          <cell r="AG22">
            <v>497790.06317515002</v>
          </cell>
          <cell r="AH22">
            <v>1048134.2245552937</v>
          </cell>
          <cell r="AI22">
            <v>610649.27202113578</v>
          </cell>
          <cell r="AJ22">
            <v>-60.672371314276631</v>
          </cell>
          <cell r="AK22">
            <v>162.79878073425397</v>
          </cell>
          <cell r="AL22">
            <v>-70.668681423705479</v>
          </cell>
          <cell r="AM22">
            <v>196.32884639257381</v>
          </cell>
          <cell r="AN22">
            <v>174.50432837888789</v>
          </cell>
          <cell r="AO22">
            <v>86.006312898006371</v>
          </cell>
          <cell r="AP22">
            <v>44.360401710140238</v>
          </cell>
          <cell r="AQ22">
            <v>43.384864805181735</v>
          </cell>
          <cell r="AR22">
            <v>43.75742378596528</v>
          </cell>
          <cell r="AS22">
            <v>110.55748237917359</v>
          </cell>
        </row>
        <row r="24">
          <cell r="A24" t="str">
            <v>SERVICIO DE LA DEUDA</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490596.93699999992</v>
          </cell>
          <cell r="X24">
            <v>566441.1</v>
          </cell>
          <cell r="Y24">
            <v>1025322</v>
          </cell>
          <cell r="Z24">
            <v>1217055.953</v>
          </cell>
          <cell r="AA24">
            <v>1471622.4639999999</v>
          </cell>
          <cell r="AB24">
            <v>2490959.7000000002</v>
          </cell>
          <cell r="AC24">
            <v>2623041.7887459998</v>
          </cell>
          <cell r="AD24">
            <v>4925947.8997329995</v>
          </cell>
          <cell r="AE24">
            <v>7085000</v>
          </cell>
          <cell r="AF24">
            <v>7305400</v>
          </cell>
          <cell r="AG24">
            <v>7174600</v>
          </cell>
          <cell r="AH24">
            <v>14897963.097879741</v>
          </cell>
          <cell r="AJ24">
            <v>81.011229587683516</v>
          </cell>
          <cell r="AK24">
            <v>18.699877014245271</v>
          </cell>
          <cell r="AL24">
            <v>20.916582378361692</v>
          </cell>
          <cell r="AM24">
            <v>69.266218811946615</v>
          </cell>
          <cell r="AN24">
            <v>5.3024578738066097</v>
          </cell>
          <cell r="AO24">
            <v>87.795250570062507</v>
          </cell>
          <cell r="AP24">
            <v>43.830185463066449</v>
          </cell>
          <cell r="AQ24">
            <v>48.304451218332488</v>
          </cell>
          <cell r="AR24">
            <v>45.649124717475885</v>
          </cell>
          <cell r="AS24">
            <v>107.6486925804887</v>
          </cell>
        </row>
        <row r="25">
          <cell r="A25" t="str">
            <v>1.</v>
          </cell>
          <cell r="B25" t="str">
            <v>INTERNA</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88669.915999999997</v>
          </cell>
          <cell r="X25">
            <v>45514.29</v>
          </cell>
          <cell r="Y25">
            <v>315868</v>
          </cell>
          <cell r="Z25">
            <v>192408.85500000001</v>
          </cell>
          <cell r="AA25">
            <v>332930.63099999999</v>
          </cell>
          <cell r="AB25">
            <v>1141052.8999999999</v>
          </cell>
          <cell r="AC25">
            <v>1377370.6828639999</v>
          </cell>
          <cell r="AD25">
            <v>3435008.1982249999</v>
          </cell>
          <cell r="AE25">
            <v>4897900</v>
          </cell>
          <cell r="AF25">
            <v>5277600</v>
          </cell>
          <cell r="AG25">
            <v>5208400</v>
          </cell>
          <cell r="AH25">
            <v>10768850.787332403</v>
          </cell>
          <cell r="AJ25">
            <v>593.99742366628152</v>
          </cell>
          <cell r="AK25">
            <v>-39.085676611749207</v>
          </cell>
          <cell r="AL25">
            <v>73.032904852533932</v>
          </cell>
          <cell r="AM25">
            <v>242.72992442080223</v>
          </cell>
          <cell r="AN25">
            <v>20.710501928876379</v>
          </cell>
          <cell r="AO25">
            <v>149.38879859723056</v>
          </cell>
          <cell r="AP25">
            <v>42.587723736174254</v>
          </cell>
          <cell r="AQ25">
            <v>53.641554705084474</v>
          </cell>
          <cell r="AR25">
            <v>51.627003472404496</v>
          </cell>
          <cell r="AS25">
            <v>106.75928859788809</v>
          </cell>
        </row>
        <row r="26">
          <cell r="B26" t="str">
            <v>1.1.</v>
          </cell>
          <cell r="C26" t="str">
            <v>Vigencia</v>
          </cell>
          <cell r="W26">
            <v>88669.915999999997</v>
          </cell>
          <cell r="X26">
            <v>43883.635999999999</v>
          </cell>
          <cell r="Y26">
            <v>303956</v>
          </cell>
          <cell r="Z26">
            <v>181226.709</v>
          </cell>
          <cell r="AA26">
            <v>322907.95699999999</v>
          </cell>
          <cell r="AB26">
            <v>1121100.2999999998</v>
          </cell>
          <cell r="AC26">
            <v>1288610.748864</v>
          </cell>
          <cell r="AD26">
            <v>3407106.3435379998</v>
          </cell>
          <cell r="AE26">
            <v>4897900</v>
          </cell>
          <cell r="AF26">
            <v>5277600</v>
          </cell>
          <cell r="AG26">
            <v>5204532.9409779999</v>
          </cell>
          <cell r="AH26">
            <v>10199179.051885806</v>
          </cell>
          <cell r="AJ26">
            <v>592.6408741518137</v>
          </cell>
          <cell r="AK26">
            <v>-40.377321388622036</v>
          </cell>
          <cell r="AL26">
            <v>78.179010578402114</v>
          </cell>
          <cell r="AM26">
            <v>247.18881207377615</v>
          </cell>
          <cell r="AN26">
            <v>14.941611278134538</v>
          </cell>
          <cell r="AO26">
            <v>164.40151508448935</v>
          </cell>
          <cell r="AP26">
            <v>43.755419002094719</v>
          </cell>
          <cell r="AQ26">
            <v>54.899773234540319</v>
          </cell>
          <cell r="AR26">
            <v>52.755224410563017</v>
          </cell>
          <cell r="AS26">
            <v>95.967230250045191</v>
          </cell>
        </row>
        <row r="27">
          <cell r="B27" t="str">
            <v>1.2.</v>
          </cell>
          <cell r="C27" t="str">
            <v>Reservas de apropiación</v>
          </cell>
          <cell r="W27">
            <v>0</v>
          </cell>
          <cell r="X27">
            <v>0</v>
          </cell>
          <cell r="Y27">
            <v>2300</v>
          </cell>
          <cell r="Z27">
            <v>0</v>
          </cell>
          <cell r="AA27">
            <v>0</v>
          </cell>
          <cell r="AB27">
            <v>0</v>
          </cell>
          <cell r="AC27">
            <v>0</v>
          </cell>
          <cell r="AD27">
            <v>0</v>
          </cell>
          <cell r="AE27">
            <v>0</v>
          </cell>
          <cell r="AF27">
            <v>0</v>
          </cell>
          <cell r="AG27">
            <v>200</v>
          </cell>
          <cell r="AH27">
            <v>0</v>
          </cell>
          <cell r="AI27">
            <v>0</v>
          </cell>
        </row>
        <row r="28">
          <cell r="B28" t="str">
            <v>1.3.</v>
          </cell>
          <cell r="C28" t="str">
            <v>Reservas de Tesorería</v>
          </cell>
          <cell r="W28">
            <v>0</v>
          </cell>
          <cell r="X28">
            <v>1630.654</v>
          </cell>
          <cell r="Y28">
            <v>9612</v>
          </cell>
          <cell r="Z28">
            <v>11182.146000000001</v>
          </cell>
          <cell r="AA28">
            <v>10022.674000000001</v>
          </cell>
          <cell r="AB28">
            <v>19952.599999999999</v>
          </cell>
          <cell r="AC28">
            <v>88759.933999999994</v>
          </cell>
          <cell r="AD28">
            <v>27901.854686999999</v>
          </cell>
          <cell r="AE28">
            <v>0</v>
          </cell>
          <cell r="AF28">
            <v>0</v>
          </cell>
          <cell r="AG28">
            <v>3667.0590219999999</v>
          </cell>
          <cell r="AH28">
            <v>569671.7354465964</v>
          </cell>
          <cell r="AI28">
            <v>1849800</v>
          </cell>
          <cell r="AJ28">
            <v>489.45674557570158</v>
          </cell>
          <cell r="AK28">
            <v>16.335268414481895</v>
          </cell>
          <cell r="AL28">
            <v>-10.368957801123324</v>
          </cell>
          <cell r="AM28">
            <v>99.074618210669101</v>
          </cell>
          <cell r="AN28">
            <v>344.85397391818606</v>
          </cell>
          <cell r="AO28">
            <v>-68.564809109704839</v>
          </cell>
          <cell r="AR28">
            <v>-86.857292953688301</v>
          </cell>
        </row>
        <row r="29">
          <cell r="A29" t="str">
            <v>2.</v>
          </cell>
          <cell r="B29" t="str">
            <v>EXTERNA</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401927.02099999995</v>
          </cell>
          <cell r="X29">
            <v>520926.81</v>
          </cell>
          <cell r="Y29">
            <v>709454</v>
          </cell>
          <cell r="Z29">
            <v>1024647.098</v>
          </cell>
          <cell r="AA29">
            <v>1138691.8329999999</v>
          </cell>
          <cell r="AB29">
            <v>1349906.8</v>
          </cell>
          <cell r="AC29">
            <v>1245671.1058819999</v>
          </cell>
          <cell r="AD29">
            <v>1490939.701508</v>
          </cell>
          <cell r="AE29">
            <v>2187100</v>
          </cell>
          <cell r="AF29">
            <v>2027800</v>
          </cell>
          <cell r="AG29">
            <v>1966200</v>
          </cell>
          <cell r="AH29">
            <v>4129112.3105473397</v>
          </cell>
          <cell r="AJ29">
            <v>36.190725142366922</v>
          </cell>
          <cell r="AK29">
            <v>44.42755950350552</v>
          </cell>
          <cell r="AL29">
            <v>11.130147659872636</v>
          </cell>
          <cell r="AM29">
            <v>18.548913839447923</v>
          </cell>
          <cell r="AN29">
            <v>-7.7216956102451046</v>
          </cell>
          <cell r="AO29">
            <v>19.689675265634186</v>
          </cell>
          <cell r="AP29">
            <v>46.692719885846067</v>
          </cell>
          <cell r="AQ29">
            <v>36.008183157843106</v>
          </cell>
          <cell r="AR29">
            <v>31.876560669174037</v>
          </cell>
          <cell r="AS29">
            <v>110.00469487068152</v>
          </cell>
        </row>
        <row r="30">
          <cell r="B30" t="str">
            <v>2.1.</v>
          </cell>
          <cell r="C30" t="str">
            <v>Vigencia</v>
          </cell>
          <cell r="W30">
            <v>401927.02099999995</v>
          </cell>
          <cell r="X30">
            <v>502217.49699999997</v>
          </cell>
          <cell r="Y30">
            <v>622360</v>
          </cell>
          <cell r="Z30">
            <v>984036.4</v>
          </cell>
          <cell r="AA30">
            <v>1127655.3459999999</v>
          </cell>
          <cell r="AB30">
            <v>1264475.7</v>
          </cell>
          <cell r="AC30">
            <v>1227136.3594519999</v>
          </cell>
          <cell r="AD30">
            <v>1479298.6209249999</v>
          </cell>
          <cell r="AE30">
            <v>2187100</v>
          </cell>
          <cell r="AF30">
            <v>2027800</v>
          </cell>
          <cell r="AG30">
            <v>1924315.2899529999</v>
          </cell>
          <cell r="AH30">
            <v>3722794.5061486787</v>
          </cell>
          <cell r="AJ30">
            <v>23.922404877900938</v>
          </cell>
          <cell r="AK30">
            <v>58.113696252972559</v>
          </cell>
          <cell r="AL30">
            <v>14.594881449507335</v>
          </cell>
          <cell r="AM30">
            <v>12.133171228720441</v>
          </cell>
          <cell r="AN30">
            <v>-2.9529504242746696</v>
          </cell>
          <cell r="AO30">
            <v>20.548837912814164</v>
          </cell>
          <cell r="AP30">
            <v>47.847092470918049</v>
          </cell>
          <cell r="AQ30">
            <v>37.078475658418732</v>
          </cell>
          <cell r="AR30">
            <v>30.082950307202516</v>
          </cell>
          <cell r="AS30">
            <v>93.460735129304368</v>
          </cell>
        </row>
        <row r="31">
          <cell r="B31" t="str">
            <v>2.2.</v>
          </cell>
          <cell r="C31" t="str">
            <v>Reservas de apropiación</v>
          </cell>
          <cell r="W31">
            <v>0</v>
          </cell>
          <cell r="X31">
            <v>0</v>
          </cell>
          <cell r="Y31">
            <v>799</v>
          </cell>
          <cell r="Z31">
            <v>0</v>
          </cell>
          <cell r="AA31">
            <v>0</v>
          </cell>
          <cell r="AB31">
            <v>0</v>
          </cell>
          <cell r="AC31">
            <v>0</v>
          </cell>
          <cell r="AD31">
            <v>0</v>
          </cell>
          <cell r="AE31">
            <v>0</v>
          </cell>
          <cell r="AF31">
            <v>0</v>
          </cell>
          <cell r="AG31">
            <v>260.10000000000002</v>
          </cell>
          <cell r="AH31">
            <v>0</v>
          </cell>
          <cell r="AI31">
            <v>0</v>
          </cell>
        </row>
        <row r="32">
          <cell r="B32" t="str">
            <v>2.3.</v>
          </cell>
          <cell r="C32" t="str">
            <v>Reservas de Tesorería</v>
          </cell>
          <cell r="W32">
            <v>0</v>
          </cell>
          <cell r="X32">
            <v>18709.312999999998</v>
          </cell>
          <cell r="Y32">
            <v>86295</v>
          </cell>
          <cell r="Z32">
            <v>40610.697999999997</v>
          </cell>
          <cell r="AA32">
            <v>11036.486999999999</v>
          </cell>
          <cell r="AB32">
            <v>85431.099999999991</v>
          </cell>
          <cell r="AC32">
            <v>18534.746429999999</v>
          </cell>
          <cell r="AD32">
            <v>11641.080583000001</v>
          </cell>
          <cell r="AE32">
            <v>0</v>
          </cell>
          <cell r="AF32">
            <v>0</v>
          </cell>
          <cell r="AG32">
            <v>41624.610047000002</v>
          </cell>
          <cell r="AH32">
            <v>406317.8043986609</v>
          </cell>
          <cell r="AI32">
            <v>183100</v>
          </cell>
          <cell r="AJ32">
            <v>361.24088041073452</v>
          </cell>
          <cell r="AK32">
            <v>-52.939685960947912</v>
          </cell>
          <cell r="AL32">
            <v>-72.823695372091365</v>
          </cell>
          <cell r="AM32">
            <v>674.07874444105266</v>
          </cell>
          <cell r="AN32">
            <v>-78.304450685991398</v>
          </cell>
          <cell r="AO32">
            <v>-37.193202901562429</v>
          </cell>
          <cell r="AR32">
            <v>257.5665484850806</v>
          </cell>
        </row>
        <row r="34">
          <cell r="A34" t="str">
            <v>INVERSION</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330205.33600000001</v>
          </cell>
          <cell r="X34">
            <v>438512.96899999992</v>
          </cell>
          <cell r="Y34">
            <v>697689</v>
          </cell>
          <cell r="Z34">
            <v>950718.07299999986</v>
          </cell>
          <cell r="AA34">
            <v>1069544.105</v>
          </cell>
          <cell r="AB34">
            <v>1383556</v>
          </cell>
          <cell r="AC34">
            <v>1977253.1444549998</v>
          </cell>
          <cell r="AD34">
            <v>2801446.6998629998</v>
          </cell>
          <cell r="AE34">
            <v>3575300</v>
          </cell>
          <cell r="AF34">
            <v>3515000</v>
          </cell>
          <cell r="AG34">
            <v>4038900</v>
          </cell>
          <cell r="AH34">
            <v>2622389.2423478742</v>
          </cell>
          <cell r="AJ34">
            <v>59.103390166779789</v>
          </cell>
          <cell r="AK34">
            <v>36.266742488415304</v>
          </cell>
          <cell r="AL34">
            <v>12.498556130845762</v>
          </cell>
          <cell r="AM34">
            <v>29.359415243563049</v>
          </cell>
          <cell r="AN34">
            <v>42.910958750856487</v>
          </cell>
          <cell r="AO34">
            <v>41.683765061614132</v>
          </cell>
          <cell r="AP34">
            <v>27.623345472710369</v>
          </cell>
          <cell r="AQ34">
            <v>25.470886173629339</v>
          </cell>
          <cell r="AR34">
            <v>44.171938027502563</v>
          </cell>
          <cell r="AS34">
            <v>-35.07169669098333</v>
          </cell>
        </row>
        <row r="35">
          <cell r="B35" t="str">
            <v>1.1.</v>
          </cell>
          <cell r="C35" t="str">
            <v>Vigencia</v>
          </cell>
          <cell r="W35">
            <v>249036</v>
          </cell>
          <cell r="X35">
            <v>300944.17699999997</v>
          </cell>
          <cell r="Y35">
            <v>509847</v>
          </cell>
          <cell r="Z35">
            <v>740705.81499999994</v>
          </cell>
          <cell r="AA35">
            <v>698011.73499999999</v>
          </cell>
          <cell r="AB35">
            <v>958714.70000000007</v>
          </cell>
          <cell r="AC35">
            <v>1384495.9769009999</v>
          </cell>
          <cell r="AD35">
            <v>1677982.626127</v>
          </cell>
          <cell r="AE35">
            <v>1672300</v>
          </cell>
          <cell r="AF35">
            <v>1583800</v>
          </cell>
          <cell r="AG35">
            <v>2146733.9303026702</v>
          </cell>
          <cell r="AH35">
            <v>439348.78469574777</v>
          </cell>
          <cell r="AJ35">
            <v>69.415804978343232</v>
          </cell>
          <cell r="AK35">
            <v>45.280018319221242</v>
          </cell>
          <cell r="AL35">
            <v>-5.7639725698656719</v>
          </cell>
          <cell r="AM35">
            <v>37.349367056128372</v>
          </cell>
          <cell r="AN35">
            <v>44.411677102791877</v>
          </cell>
          <cell r="AO35">
            <v>21.198086099385339</v>
          </cell>
          <cell r="AP35">
            <v>-0.33865822199340423</v>
          </cell>
          <cell r="AQ35">
            <v>-5.6128487065676964</v>
          </cell>
          <cell r="AR35">
            <v>27.935408679266761</v>
          </cell>
          <cell r="AS35">
            <v>-79.534082985598332</v>
          </cell>
        </row>
        <row r="36">
          <cell r="B36" t="str">
            <v>1.2.</v>
          </cell>
          <cell r="C36" t="str">
            <v>Reservas de apropiación</v>
          </cell>
          <cell r="W36">
            <v>0</v>
          </cell>
          <cell r="X36">
            <v>44156.1</v>
          </cell>
          <cell r="Y36">
            <v>131762</v>
          </cell>
          <cell r="Z36">
            <v>153077.386</v>
          </cell>
          <cell r="AA36">
            <v>263387.62400000001</v>
          </cell>
          <cell r="AB36">
            <v>301579.3</v>
          </cell>
          <cell r="AC36">
            <v>426682.572744</v>
          </cell>
          <cell r="AD36">
            <v>544215.95600500004</v>
          </cell>
          <cell r="AE36">
            <v>933140</v>
          </cell>
          <cell r="AF36">
            <v>1006000</v>
          </cell>
          <cell r="AG36">
            <v>958608.97140806005</v>
          </cell>
          <cell r="AH36">
            <v>1105971.7226547827</v>
          </cell>
          <cell r="AI36">
            <v>760740.43104292452</v>
          </cell>
          <cell r="AJ36">
            <v>198.40044750328948</v>
          </cell>
          <cell r="AK36">
            <v>16.177187656532222</v>
          </cell>
          <cell r="AL36">
            <v>72.061746599200504</v>
          </cell>
          <cell r="AM36">
            <v>14.500178641650985</v>
          </cell>
          <cell r="AN36">
            <v>41.4827120906508</v>
          </cell>
          <cell r="AO36">
            <v>27.5458597957591</v>
          </cell>
          <cell r="AP36">
            <v>71.465020402934812</v>
          </cell>
          <cell r="AQ36">
            <v>84.853087988246585</v>
          </cell>
          <cell r="AR36">
            <v>76.144958785304851</v>
          </cell>
          <cell r="AS36">
            <v>15.372561246768623</v>
          </cell>
        </row>
        <row r="37">
          <cell r="B37" t="str">
            <v>1.3.</v>
          </cell>
          <cell r="C37" t="str">
            <v>Reservas de Tesorería</v>
          </cell>
          <cell r="W37">
            <v>81169.335999999981</v>
          </cell>
          <cell r="X37">
            <v>93412.69200000001</v>
          </cell>
          <cell r="Y37">
            <v>56080</v>
          </cell>
          <cell r="Z37">
            <v>56934.872000000003</v>
          </cell>
          <cell r="AA37">
            <v>108144.746</v>
          </cell>
          <cell r="AB37">
            <v>123262</v>
          </cell>
          <cell r="AC37">
            <v>166074.59480999998</v>
          </cell>
          <cell r="AD37">
            <v>579248.11773099995</v>
          </cell>
          <cell r="AE37">
            <v>969860</v>
          </cell>
          <cell r="AF37">
            <v>925200</v>
          </cell>
          <cell r="AG37">
            <v>933557.09828926995</v>
          </cell>
          <cell r="AH37">
            <v>1077068.7349973437</v>
          </cell>
          <cell r="AI37">
            <v>740859.56895707548</v>
          </cell>
          <cell r="AJ37">
            <v>-39.965331477654033</v>
          </cell>
          <cell r="AK37">
            <v>1.5243794579172576</v>
          </cell>
          <cell r="AL37">
            <v>89.944654657342511</v>
          </cell>
          <cell r="AM37">
            <v>13.978722553937107</v>
          </cell>
          <cell r="AN37">
            <v>34.733003529068142</v>
          </cell>
          <cell r="AO37">
            <v>248.7879156915584</v>
          </cell>
          <cell r="AP37">
            <v>67.434294616111018</v>
          </cell>
          <cell r="AQ37">
            <v>59.724299774014696</v>
          </cell>
          <cell r="AR37">
            <v>61.167049095670855</v>
          </cell>
          <cell r="AS37">
            <v>15.372561246768601</v>
          </cell>
        </row>
        <row r="38">
          <cell r="AH38">
            <v>0</v>
          </cell>
          <cell r="AP38" t="e">
            <v>#DIV/0!</v>
          </cell>
          <cell r="AQ38" t="e">
            <v>#DIV/0!</v>
          </cell>
          <cell r="AR38" t="e">
            <v>#DIV/0!</v>
          </cell>
          <cell r="AS38" t="e">
            <v>#DIV/0!</v>
          </cell>
        </row>
        <row r="39">
          <cell r="A39" t="str">
            <v>OTROS</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92075</v>
          </cell>
          <cell r="X39">
            <v>120680</v>
          </cell>
          <cell r="Y39">
            <v>120681</v>
          </cell>
          <cell r="Z39">
            <v>120682</v>
          </cell>
          <cell r="AA39">
            <v>120683</v>
          </cell>
          <cell r="AB39">
            <v>120684</v>
          </cell>
          <cell r="AC39">
            <v>120685</v>
          </cell>
          <cell r="AD39">
            <v>120686</v>
          </cell>
          <cell r="AE39">
            <v>120687</v>
          </cell>
          <cell r="AF39">
            <v>120688</v>
          </cell>
          <cell r="AG39">
            <v>0</v>
          </cell>
          <cell r="AH39">
            <v>0</v>
          </cell>
          <cell r="AJ39">
            <v>8.2863771959651444E-4</v>
          </cell>
          <cell r="AK39">
            <v>8.2863085324458297E-4</v>
          </cell>
          <cell r="AL39">
            <v>8.2862398700367379E-4</v>
          </cell>
          <cell r="AP39">
            <v>8.2859652321687349E-4</v>
          </cell>
          <cell r="AQ39">
            <v>1.6571930464115425E-3</v>
          </cell>
          <cell r="AR39">
            <v>-100</v>
          </cell>
          <cell r="AS39">
            <v>-100</v>
          </cell>
        </row>
        <row r="40">
          <cell r="B40" t="str">
            <v>DEVOLUCION DE IMPUESTOS</v>
          </cell>
          <cell r="AH40">
            <v>0</v>
          </cell>
          <cell r="AK40" t="e">
            <v>#DIV/0!</v>
          </cell>
          <cell r="AL40" t="e">
            <v>#DIV/0!</v>
          </cell>
          <cell r="AP40" t="e">
            <v>#DIV/0!</v>
          </cell>
          <cell r="AQ40" t="e">
            <v>#DIV/0!</v>
          </cell>
          <cell r="AR40" t="e">
            <v>#DIV/0!</v>
          </cell>
          <cell r="AS40" t="e">
            <v>#DIV/0!</v>
          </cell>
        </row>
        <row r="41">
          <cell r="B41" t="str">
            <v>PREPAGO DEUDA</v>
          </cell>
          <cell r="AH41">
            <v>0</v>
          </cell>
          <cell r="AP41" t="e">
            <v>#DIV/0!</v>
          </cell>
          <cell r="AQ41" t="e">
            <v>#DIV/0!</v>
          </cell>
          <cell r="AR41" t="e">
            <v>#DIV/0!</v>
          </cell>
          <cell r="AS41" t="e">
            <v>#DIV/0!</v>
          </cell>
        </row>
        <row r="42">
          <cell r="B42" t="str">
            <v>OTROS</v>
          </cell>
          <cell r="AH42">
            <v>0</v>
          </cell>
          <cell r="AP42" t="e">
            <v>#DIV/0!</v>
          </cell>
          <cell r="AQ42" t="e">
            <v>#DIV/0!</v>
          </cell>
          <cell r="AR42" t="e">
            <v>#DIV/0!</v>
          </cell>
          <cell r="AS42" t="e">
            <v>#DIV/0!</v>
          </cell>
        </row>
        <row r="43">
          <cell r="B43" t="str">
            <v>TESOROS</v>
          </cell>
          <cell r="AH43">
            <v>0</v>
          </cell>
          <cell r="AK43" t="e">
            <v>#DIV/0!</v>
          </cell>
          <cell r="AL43" t="e">
            <v>#DIV/0!</v>
          </cell>
          <cell r="AP43" t="e">
            <v>#DIV/0!</v>
          </cell>
          <cell r="AQ43" t="e">
            <v>#DIV/0!</v>
          </cell>
          <cell r="AR43" t="e">
            <v>#DIV/0!</v>
          </cell>
          <cell r="AS43" t="e">
            <v>#DIV/0!</v>
          </cell>
        </row>
        <row r="44">
          <cell r="B44" t="str">
            <v>RECOMPRA TESOROS</v>
          </cell>
          <cell r="AH44">
            <v>0</v>
          </cell>
          <cell r="AK44" t="e">
            <v>#DIV/0!</v>
          </cell>
          <cell r="AP44" t="e">
            <v>#DIV/0!</v>
          </cell>
          <cell r="AQ44" t="e">
            <v>#DIV/0!</v>
          </cell>
          <cell r="AR44" t="e">
            <v>#DIV/0!</v>
          </cell>
          <cell r="AS44" t="e">
            <v>#DIV/0!</v>
          </cell>
        </row>
        <row r="45">
          <cell r="B45" t="str">
            <v>ORO Y PLATINO</v>
          </cell>
          <cell r="AH45">
            <v>0</v>
          </cell>
          <cell r="AP45" t="e">
            <v>#DIV/0!</v>
          </cell>
          <cell r="AQ45" t="e">
            <v>#DIV/0!</v>
          </cell>
          <cell r="AR45" t="e">
            <v>#DIV/0!</v>
          </cell>
          <cell r="AS45" t="e">
            <v>#DIV/0!</v>
          </cell>
        </row>
        <row r="47">
          <cell r="A47" t="str">
            <v>TOTAL</v>
          </cell>
          <cell r="C47">
            <v>0.50661989280961939</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2043111.7089999998</v>
          </cell>
          <cell r="X47">
            <v>2553715.182</v>
          </cell>
          <cell r="Y47">
            <v>3720238</v>
          </cell>
          <cell r="Z47">
            <v>5054407.1919999998</v>
          </cell>
          <cell r="AA47">
            <v>6844174.875</v>
          </cell>
          <cell r="AB47">
            <v>10116705.954</v>
          </cell>
          <cell r="AC47">
            <v>12786506.618774999</v>
          </cell>
          <cell r="AD47">
            <v>18274170.176407002</v>
          </cell>
          <cell r="AE47">
            <v>23132201</v>
          </cell>
          <cell r="AF47">
            <v>23786272</v>
          </cell>
          <cell r="AG47">
            <v>24005400</v>
          </cell>
          <cell r="AH47">
            <v>36583614.574227616</v>
          </cell>
          <cell r="AJ47">
            <v>45.679440926783819</v>
          </cell>
          <cell r="AK47">
            <v>35.862468799039206</v>
          </cell>
          <cell r="AL47">
            <v>35.410041474948905</v>
          </cell>
          <cell r="AM47">
            <v>47.814837270650543</v>
          </cell>
          <cell r="AN47">
            <v>26.39001940863368</v>
          </cell>
          <cell r="AO47">
            <v>42.917614022693428</v>
          </cell>
          <cell r="AP47">
            <v>26.584139124768534</v>
          </cell>
          <cell r="AQ47">
            <v>30.163349527681625</v>
          </cell>
          <cell r="AR47">
            <v>31.362462800047375</v>
          </cell>
          <cell r="AS47">
            <v>52.397437969072037</v>
          </cell>
        </row>
        <row r="48">
          <cell r="C48" t="str">
            <v>Vigencia</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1791628.1369999999</v>
          </cell>
          <cell r="X48">
            <v>2272076.5039999997</v>
          </cell>
          <cell r="Y48">
            <v>3302176</v>
          </cell>
          <cell r="Z48">
            <v>4628191.3469999991</v>
          </cell>
          <cell r="AA48">
            <v>6291665.8440000005</v>
          </cell>
          <cell r="AB48">
            <v>9373474.9999999981</v>
          </cell>
          <cell r="AC48">
            <v>11670494.857997</v>
          </cell>
          <cell r="AD48">
            <v>16469406.425021999</v>
          </cell>
          <cell r="AE48">
            <v>20291701</v>
          </cell>
          <cell r="AF48">
            <v>20904472</v>
          </cell>
          <cell r="AG48">
            <v>21232333.953963906</v>
          </cell>
          <cell r="AH48">
            <v>31138731.894625232</v>
          </cell>
          <cell r="AJ48">
            <v>45.337359643766661</v>
          </cell>
          <cell r="AK48">
            <v>40.155804748141797</v>
          </cell>
          <cell r="AL48">
            <v>35.942215269000677</v>
          </cell>
          <cell r="AM48">
            <v>48.982403586149474</v>
          </cell>
          <cell r="AN48">
            <v>24.505531385073343</v>
          </cell>
          <cell r="AO48">
            <v>41.120034972095709</v>
          </cell>
          <cell r="AP48">
            <v>23.208453761701954</v>
          </cell>
          <cell r="AQ48">
            <v>26.92911608665991</v>
          </cell>
          <cell r="AR48">
            <v>28.919849362060688</v>
          </cell>
          <cell r="AS48">
            <v>46.657131345712855</v>
          </cell>
        </row>
        <row r="49">
          <cell r="C49" t="str">
            <v>Reservas de apropiación</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83376.41399999999</v>
          </cell>
          <cell r="Y49">
            <v>216155</v>
          </cell>
          <cell r="Z49">
            <v>221817.58899999998</v>
          </cell>
          <cell r="AA49">
            <v>374226.598</v>
          </cell>
          <cell r="AB49">
            <v>409219.1</v>
          </cell>
          <cell r="AC49">
            <v>630987.60453799996</v>
          </cell>
          <cell r="AD49">
            <v>744073.92789699999</v>
          </cell>
          <cell r="AE49">
            <v>1225856</v>
          </cell>
          <cell r="AF49">
            <v>1320000</v>
          </cell>
          <cell r="AG49">
            <v>1154768.3710225602</v>
          </cell>
          <cell r="AH49">
            <v>2065027.499342344</v>
          </cell>
          <cell r="AJ49">
            <v>159.25197502497531</v>
          </cell>
          <cell r="AK49">
            <v>2.6196891119798282</v>
          </cell>
          <cell r="AL49">
            <v>68.709163095267442</v>
          </cell>
          <cell r="AM49">
            <v>9.3506186324040961</v>
          </cell>
          <cell r="AN49">
            <v>54.193097178992858</v>
          </cell>
          <cell r="AO49">
            <v>17.922114879229724</v>
          </cell>
          <cell r="AP49">
            <v>64.749221016878806</v>
          </cell>
          <cell r="AQ49">
            <v>77.401727235727563</v>
          </cell>
          <cell r="AR49">
            <v>55.195381497416406</v>
          </cell>
          <cell r="AS49">
            <v>78.826122290978518</v>
          </cell>
        </row>
        <row r="50">
          <cell r="C50" t="str">
            <v>Reservas de Tesorería</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159408.57199999999</v>
          </cell>
          <cell r="X50">
            <v>198262.264</v>
          </cell>
          <cell r="Y50">
            <v>201907</v>
          </cell>
          <cell r="Z50">
            <v>204398.25600000002</v>
          </cell>
          <cell r="AA50">
            <v>178282.43299999999</v>
          </cell>
          <cell r="AB50">
            <v>334011.85399999999</v>
          </cell>
          <cell r="AC50">
            <v>485024.15623999998</v>
          </cell>
          <cell r="AD50">
            <v>1060689.8234879998</v>
          </cell>
          <cell r="AE50">
            <v>1614644</v>
          </cell>
          <cell r="AF50">
            <v>1561800</v>
          </cell>
          <cell r="AG50">
            <v>1618297.6750135398</v>
          </cell>
          <cell r="AH50">
            <v>3379855.1802600399</v>
          </cell>
          <cell r="AJ50">
            <v>1.8383407545472297</v>
          </cell>
          <cell r="AK50">
            <v>1.2338631151966206</v>
          </cell>
          <cell r="AL50">
            <v>-12.776930445042556</v>
          </cell>
          <cell r="AM50">
            <v>87.349840575711696</v>
          </cell>
          <cell r="AN50">
            <v>45.211659535891791</v>
          </cell>
          <cell r="AO50">
            <v>118.6880405525923</v>
          </cell>
          <cell r="AP50">
            <v>52.225840603463404</v>
          </cell>
          <cell r="AQ50">
            <v>47.24379978155504</v>
          </cell>
          <cell r="AR50">
            <v>52.570302757491149</v>
          </cell>
          <cell r="AS50">
            <v>108.852501764347</v>
          </cell>
        </row>
        <row r="51">
          <cell r="C51" t="str">
            <v>Otros</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92075</v>
          </cell>
          <cell r="X51">
            <v>120680</v>
          </cell>
          <cell r="Y51">
            <v>120681</v>
          </cell>
          <cell r="Z51">
            <v>120682</v>
          </cell>
          <cell r="AA51">
            <v>120683</v>
          </cell>
          <cell r="AB51">
            <v>120684</v>
          </cell>
          <cell r="AC51">
            <v>120685</v>
          </cell>
          <cell r="AD51">
            <v>120686</v>
          </cell>
          <cell r="AE51">
            <v>120687</v>
          </cell>
          <cell r="AF51">
            <v>120688</v>
          </cell>
          <cell r="AG51">
            <v>0</v>
          </cell>
          <cell r="AH51">
            <v>0</v>
          </cell>
          <cell r="AJ51">
            <v>8.2863771959651444E-4</v>
          </cell>
          <cell r="AK51">
            <v>8.2863085324458297E-4</v>
          </cell>
          <cell r="AL51">
            <v>8.2862398700367379E-4</v>
          </cell>
        </row>
        <row r="53">
          <cell r="A53" t="str">
            <v>P = Proyectado</v>
          </cell>
          <cell r="E53" t="str">
            <v>C:\CARLOSJ\PRES9194\PAGOS.WK3</v>
          </cell>
          <cell r="W53" t="str">
            <v>C:\CARLOSJ\PRES9194\PAGOS.WK3</v>
          </cell>
          <cell r="X53" t="str">
            <v>C:\CARLOSJ\PRES9194\PAGOS.XLS</v>
          </cell>
          <cell r="AF53">
            <v>35620</v>
          </cell>
          <cell r="AL53" t="str">
            <v>Rango REZ 1</v>
          </cell>
        </row>
        <row r="54">
          <cell r="A54" t="str">
            <v>C:\CARLOSJ\PRES9194\PAGOS.XLS</v>
          </cell>
        </row>
        <row r="57">
          <cell r="A57" t="str">
            <v>PAGOS POR NUMERALES CON RECURSOS DE LA NACION</v>
          </cell>
        </row>
        <row r="58">
          <cell r="A58" t="str">
            <v>Participación  porcentual en el PIB</v>
          </cell>
        </row>
        <row r="60">
          <cell r="AD60" t="str">
            <v>Provisional</v>
          </cell>
          <cell r="AE60" t="str">
            <v>Proyección</v>
          </cell>
          <cell r="AH60" t="str">
            <v>Proyección</v>
          </cell>
        </row>
        <row r="61">
          <cell r="A61" t="str">
            <v>CONCEPTOS</v>
          </cell>
          <cell r="D61">
            <v>1970</v>
          </cell>
          <cell r="E61">
            <v>1971</v>
          </cell>
          <cell r="F61">
            <v>1972</v>
          </cell>
          <cell r="G61">
            <v>1973</v>
          </cell>
          <cell r="H61">
            <v>1974</v>
          </cell>
          <cell r="I61">
            <v>1975</v>
          </cell>
          <cell r="J61">
            <v>1976</v>
          </cell>
          <cell r="K61">
            <v>1977</v>
          </cell>
          <cell r="L61">
            <v>1978</v>
          </cell>
          <cell r="M61">
            <v>1979</v>
          </cell>
          <cell r="N61">
            <v>1980</v>
          </cell>
          <cell r="O61">
            <v>1981</v>
          </cell>
          <cell r="P61">
            <v>1982</v>
          </cell>
          <cell r="Q61">
            <v>1983</v>
          </cell>
          <cell r="R61">
            <v>1984</v>
          </cell>
          <cell r="S61">
            <v>1985</v>
          </cell>
          <cell r="T61">
            <v>1986</v>
          </cell>
          <cell r="U61">
            <v>1987</v>
          </cell>
          <cell r="V61">
            <v>1988</v>
          </cell>
          <cell r="W61">
            <v>1989</v>
          </cell>
          <cell r="X61">
            <v>1990</v>
          </cell>
          <cell r="Y61">
            <v>1991</v>
          </cell>
          <cell r="Z61">
            <v>1992</v>
          </cell>
          <cell r="AA61">
            <v>1993</v>
          </cell>
          <cell r="AB61">
            <v>1994</v>
          </cell>
          <cell r="AC61">
            <v>1995</v>
          </cell>
          <cell r="AD61">
            <v>1996</v>
          </cell>
          <cell r="AE61">
            <v>1997</v>
          </cell>
          <cell r="AH61">
            <v>1998</v>
          </cell>
        </row>
        <row r="62">
          <cell r="AE62" t="str">
            <v>Dic-20-96</v>
          </cell>
          <cell r="AF62" t="str">
            <v>Mayo</v>
          </cell>
          <cell r="AG62" t="str">
            <v>Junio</v>
          </cell>
          <cell r="AH62" t="str">
            <v>Junio 19/97</v>
          </cell>
        </row>
        <row r="64">
          <cell r="A64" t="str">
            <v>FUNCIONAMIENTO</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7.4717756753315559E-2</v>
          </cell>
          <cell r="X64">
            <v>7.6564750449893468</v>
          </cell>
          <cell r="Y64">
            <v>7.6111597483168465</v>
          </cell>
          <cell r="Z64">
            <v>8.7108115784324642</v>
          </cell>
          <cell r="AA64">
            <v>9.8711558603314202</v>
          </cell>
          <cell r="AB64">
            <v>10.971052220493998</v>
          </cell>
          <cell r="AC64">
            <v>11.305826926620673</v>
          </cell>
          <cell r="AD64">
            <v>11.854564493137852</v>
          </cell>
          <cell r="AE64">
            <v>11.227453632192901</v>
          </cell>
          <cell r="AF64">
            <v>11.699139483072669</v>
          </cell>
          <cell r="AG64">
            <v>11.736057167008886</v>
          </cell>
          <cell r="AH64">
            <v>14.350810631233587</v>
          </cell>
        </row>
        <row r="65">
          <cell r="A65" t="str">
            <v>1.</v>
          </cell>
          <cell r="B65" t="str">
            <v>SERVICIOS PERSONALES</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1.9075557764744473E-2</v>
          </cell>
          <cell r="X65">
            <v>2.2280014476875309</v>
          </cell>
          <cell r="Y65">
            <v>2.1564038648102222</v>
          </cell>
          <cell r="Z65">
            <v>2.3803940430634931</v>
          </cell>
          <cell r="AA65">
            <v>2.6733395431802749</v>
          </cell>
          <cell r="AB65">
            <v>2.8612203326876591</v>
          </cell>
          <cell r="AC65">
            <v>2.8616240158446526</v>
          </cell>
          <cell r="AD65">
            <v>2.8676650568199444</v>
          </cell>
          <cell r="AE65">
            <v>2.5449225940506555</v>
          </cell>
          <cell r="AF65">
            <v>2.7420081483334879</v>
          </cell>
          <cell r="AG65">
            <v>3.4323097794304944</v>
          </cell>
          <cell r="AH65">
            <v>3.110039784013146</v>
          </cell>
        </row>
        <row r="66">
          <cell r="B66" t="str">
            <v>1.1.</v>
          </cell>
          <cell r="C66" t="str">
            <v>Vigencia</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1.8941722850918486E-2</v>
          </cell>
          <cell r="X66">
            <v>2.2168927990448148</v>
          </cell>
          <cell r="Y66">
            <v>2.1413052230820502</v>
          </cell>
          <cell r="Z66">
            <v>2.3563885732943333</v>
          </cell>
          <cell r="AA66">
            <v>2.6510509360760666</v>
          </cell>
          <cell r="AB66">
            <v>2.8372353767274534</v>
          </cell>
          <cell r="AC66">
            <v>2.8424985675835219</v>
          </cell>
          <cell r="AD66">
            <v>2.8475771123963862</v>
          </cell>
          <cell r="AE66">
            <v>2.5220570082624341</v>
          </cell>
          <cell r="AF66">
            <v>2.7190896633391852</v>
          </cell>
          <cell r="AG66">
            <v>3.4131742264909302</v>
          </cell>
          <cell r="AH66">
            <v>3.030620645646759</v>
          </cell>
        </row>
        <row r="67">
          <cell r="B67" t="str">
            <v>1.2.</v>
          </cell>
          <cell r="C67" t="str">
            <v>Reservas de apropiación</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4.2419409967964401E-3</v>
          </cell>
          <cell r="Y67">
            <v>3.7117811820392014E-3</v>
          </cell>
          <cell r="Z67">
            <v>1.3432619631962932E-3</v>
          </cell>
          <cell r="AA67">
            <v>9.4379308530271305E-3</v>
          </cell>
          <cell r="AB67">
            <v>7.9515734760171163E-3</v>
          </cell>
          <cell r="AC67">
            <v>1.1565271839548582E-2</v>
          </cell>
          <cell r="AD67">
            <v>5.1363682713265078E-3</v>
          </cell>
          <cell r="AE67">
            <v>5.6713854514091533E-3</v>
          </cell>
          <cell r="AF67">
            <v>5.6845061206340624E-3</v>
          </cell>
          <cell r="AG67">
            <v>5.9117819235819631E-3</v>
          </cell>
          <cell r="AH67">
            <v>7.3942830335510827E-3</v>
          </cell>
        </row>
        <row r="68">
          <cell r="B68" t="str">
            <v>1.3.</v>
          </cell>
          <cell r="C68" t="str">
            <v>Reservas de Tesorería</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1.3383491382598658E-4</v>
          </cell>
          <cell r="X68">
            <v>6.8667076459198737E-3</v>
          </cell>
          <cell r="Y68">
            <v>1.1386860546132581E-2</v>
          </cell>
          <cell r="Z68">
            <v>2.2662207805963515E-2</v>
          </cell>
          <cell r="AA68">
            <v>1.2850676251180805E-2</v>
          </cell>
          <cell r="AB68">
            <v>1.6033382484188619E-2</v>
          </cell>
          <cell r="AC68">
            <v>7.5601764215825831E-3</v>
          </cell>
          <cell r="AD68">
            <v>1.4951576152231539E-2</v>
          </cell>
          <cell r="AE68">
            <v>1.719420033681188E-2</v>
          </cell>
          <cell r="AF68">
            <v>1.7233978873668346E-2</v>
          </cell>
          <cell r="AG68">
            <v>1.3223771015982044E-2</v>
          </cell>
          <cell r="AH68">
            <v>7.2024855332835813E-2</v>
          </cell>
        </row>
        <row r="69">
          <cell r="A69" t="str">
            <v>2.</v>
          </cell>
          <cell r="B69" t="str">
            <v>GASTOS GENERALES</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4.6307447524307653E-3</v>
          </cell>
          <cell r="X69">
            <v>0.38863660205331962</v>
          </cell>
          <cell r="Y69">
            <v>0.54205724366864072</v>
          </cell>
          <cell r="Z69">
            <v>0.63689743443504254</v>
          </cell>
          <cell r="AA69">
            <v>0.74322553299691607</v>
          </cell>
          <cell r="AB69">
            <v>0.88780433561698868</v>
          </cell>
          <cell r="AC69">
            <v>0.82361073382200245</v>
          </cell>
          <cell r="AD69">
            <v>0.7889598244003444</v>
          </cell>
          <cell r="AE69">
            <v>0.70991342333035856</v>
          </cell>
          <cell r="AF69">
            <v>0.71315377572566097</v>
          </cell>
          <cell r="AG69">
            <v>0.79635532023887867</v>
          </cell>
          <cell r="AH69">
            <v>0.78880043003509959</v>
          </cell>
        </row>
        <row r="70">
          <cell r="B70" t="str">
            <v>2.1.</v>
          </cell>
          <cell r="C70" t="str">
            <v>Vigencia</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3.273948783867062E-3</v>
          </cell>
          <cell r="X70">
            <v>0.2993972351956351</v>
          </cell>
          <cell r="Y70">
            <v>0.42874121343462052</v>
          </cell>
          <cell r="Z70">
            <v>0.53327817696088331</v>
          </cell>
          <cell r="AA70">
            <v>0.59333014357574598</v>
          </cell>
          <cell r="AB70">
            <v>0.70127861969283811</v>
          </cell>
          <cell r="AC70">
            <v>0.70265543197237768</v>
          </cell>
          <cell r="AD70">
            <v>0.63735869306619441</v>
          </cell>
          <cell r="AE70">
            <v>0.52707875901588241</v>
          </cell>
          <cell r="AF70">
            <v>0.5303472773065403</v>
          </cell>
          <cell r="AG70">
            <v>0.61951811949717095</v>
          </cell>
          <cell r="AH70">
            <v>0.58013859440429671</v>
          </cell>
        </row>
        <row r="71">
          <cell r="B71" t="str">
            <v>2.2.</v>
          </cell>
          <cell r="C71" t="str">
            <v>Reservas de apropiación</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5.1536415491265079E-2</v>
          </cell>
          <cell r="Y71">
            <v>4.7609119411925818E-2</v>
          </cell>
          <cell r="Z71">
            <v>7.3033500902726159E-2</v>
          </cell>
          <cell r="AA71">
            <v>0.10265950162333781</v>
          </cell>
          <cell r="AB71">
            <v>0.13656417053740125</v>
          </cell>
          <cell r="AC71">
            <v>9.3306082673150978E-2</v>
          </cell>
          <cell r="AD71">
            <v>5.9067034645558618E-2</v>
          </cell>
          <cell r="AE71">
            <v>6.9581597949399859E-2</v>
          </cell>
          <cell r="AF71">
            <v>7.362788880059358E-2</v>
          </cell>
          <cell r="AG71">
            <v>6.0094641733916189E-2</v>
          </cell>
          <cell r="AH71">
            <v>7.0909617451419674E-2</v>
          </cell>
        </row>
        <row r="72">
          <cell r="B72" t="str">
            <v>2.3.</v>
          </cell>
          <cell r="C72" t="str">
            <v>Reservas de Tesorería</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1.3567959685637032E-3</v>
          </cell>
          <cell r="X72">
            <v>3.7702951366419483E-2</v>
          </cell>
          <cell r="Y72">
            <v>6.5706910822094358E-2</v>
          </cell>
          <cell r="Z72">
            <v>3.0585756571433056E-2</v>
          </cell>
          <cell r="AA72">
            <v>4.7235887797832221E-2</v>
          </cell>
          <cell r="AB72">
            <v>4.996154538674942E-2</v>
          </cell>
          <cell r="AC72">
            <v>2.764921917647371E-2</v>
          </cell>
          <cell r="AD72">
            <v>9.253409668859125E-2</v>
          </cell>
          <cell r="AE72">
            <v>0.11325306636507618</v>
          </cell>
          <cell r="AF72">
            <v>0.10917860961852724</v>
          </cell>
          <cell r="AG72">
            <v>0.11674255900779155</v>
          </cell>
          <cell r="AH72">
            <v>0.13775221817938316</v>
          </cell>
        </row>
        <row r="73">
          <cell r="A73" t="str">
            <v>3.</v>
          </cell>
          <cell r="B73" t="str">
            <v>TRANSFERENCIAS</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5.101145423614032E-2</v>
          </cell>
          <cell r="X73">
            <v>5.0398369952484954</v>
          </cell>
          <cell r="Y73">
            <v>4.9126986398379833</v>
          </cell>
          <cell r="Z73">
            <v>5.6935201009339291</v>
          </cell>
          <cell r="AA73">
            <v>6.4545907841542309</v>
          </cell>
          <cell r="AB73">
            <v>7.22202755218935</v>
          </cell>
          <cell r="AC73">
            <v>7.6205921769540179</v>
          </cell>
          <cell r="AD73">
            <v>8.1979396119175636</v>
          </cell>
          <cell r="AE73">
            <v>7.9726176148118872</v>
          </cell>
          <cell r="AF73">
            <v>8.2439775590135191</v>
          </cell>
          <cell r="AG73">
            <v>7.507392067339512</v>
          </cell>
          <cell r="AH73">
            <v>10.451970417185343</v>
          </cell>
        </row>
        <row r="74">
          <cell r="B74" t="str">
            <v>3.1.</v>
          </cell>
          <cell r="C74" t="str">
            <v>Vigencia</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4.7329830568666645E-2</v>
          </cell>
          <cell r="X74">
            <v>4.5285122168039118</v>
          </cell>
          <cell r="Y74">
            <v>4.5410746505885822</v>
          </cell>
          <cell r="Z74">
            <v>5.3250128566432231</v>
          </cell>
          <cell r="AA74">
            <v>6.2599219988494106</v>
          </cell>
          <cell r="AB74">
            <v>7.0581665132607192</v>
          </cell>
          <cell r="AC74">
            <v>7.1861983149864459</v>
          </cell>
          <cell r="AD74">
            <v>7.6482947941045261</v>
          </cell>
          <cell r="AE74">
            <v>7.3343616965501264</v>
          </cell>
          <cell r="AF74">
            <v>7.5919737300023815</v>
          </cell>
          <cell r="AG74">
            <v>6.9371497080631315</v>
          </cell>
          <cell r="AH74">
            <v>9.0192630723144518</v>
          </cell>
        </row>
        <row r="75">
          <cell r="B75" t="str">
            <v>3.2.</v>
          </cell>
          <cell r="C75" t="str">
            <v>Reservas de apropiación</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0.13811168431750609</v>
          </cell>
          <cell r="Y75">
            <v>0.25847944787902766</v>
          </cell>
          <cell r="Z75">
            <v>0.13305622974599643</v>
          </cell>
          <cell r="AA75">
            <v>0.14216858560861667</v>
          </cell>
          <cell r="AB75">
            <v>4.4668151182149292E-2</v>
          </cell>
          <cell r="AC75">
            <v>0.17729058050923077</v>
          </cell>
          <cell r="AD75">
            <v>0.1604367442073816</v>
          </cell>
          <cell r="AE75">
            <v>0.18825578863009287</v>
          </cell>
          <cell r="AF75">
            <v>0.20401060855164466</v>
          </cell>
          <cell r="AG75">
            <v>0.11353986483907955</v>
          </cell>
          <cell r="AH75">
            <v>0.64367262520571822</v>
          </cell>
        </row>
        <row r="76">
          <cell r="B76" t="str">
            <v>3.3.</v>
          </cell>
          <cell r="C76" t="str">
            <v>Reservas de Tesorería</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3.6816236674736716E-3</v>
          </cell>
          <cell r="X76">
            <v>0.37321309412707715</v>
          </cell>
          <cell r="Y76">
            <v>0.11314454137037359</v>
          </cell>
          <cell r="Z76">
            <v>0.23545101454470946</v>
          </cell>
          <cell r="AA76">
            <v>5.2500199696203884E-2</v>
          </cell>
          <cell r="AB76">
            <v>0.11919288774648268</v>
          </cell>
          <cell r="AC76">
            <v>0.25710328145834044</v>
          </cell>
          <cell r="AD76">
            <v>0.38920807360565463</v>
          </cell>
          <cell r="AE76">
            <v>0.45000012963166741</v>
          </cell>
          <cell r="AF76">
            <v>0.44799322045949397</v>
          </cell>
          <cell r="AG76">
            <v>0.4567024944373021</v>
          </cell>
          <cell r="AH76">
            <v>0.78903471966517358</v>
          </cell>
        </row>
        <row r="78">
          <cell r="A78" t="str">
            <v>SERVICIO DE LA DEUDA</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3.243247722341356E-2</v>
          </cell>
          <cell r="X78">
            <v>2.8002653929020198</v>
          </cell>
          <cell r="Y78">
            <v>3.9073623255963024</v>
          </cell>
          <cell r="Z78">
            <v>3.6726332988417405</v>
          </cell>
          <cell r="AA78">
            <v>3.3759206761124401</v>
          </cell>
          <cell r="AB78">
            <v>4.378022430561769</v>
          </cell>
          <cell r="AC78">
            <v>3.6226349407890233</v>
          </cell>
          <cell r="AD78">
            <v>5.5367601824783037</v>
          </cell>
          <cell r="AE78">
            <v>6.3780580830529923</v>
          </cell>
          <cell r="AF78">
            <v>6.5916811132825517</v>
          </cell>
          <cell r="AG78">
            <v>6.5824088486012204</v>
          </cell>
          <cell r="AH78">
            <v>11.215176321052873</v>
          </cell>
        </row>
        <row r="79">
          <cell r="A79" t="str">
            <v>1.</v>
          </cell>
          <cell r="B79" t="str">
            <v>INTERNA</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5.8618079612510789E-3</v>
          </cell>
          <cell r="X79">
            <v>0.22500502023865587</v>
          </cell>
          <cell r="Y79">
            <v>1.2037298751625858</v>
          </cell>
          <cell r="Z79">
            <v>0.58062011538841063</v>
          </cell>
          <cell r="AA79">
            <v>0.76374710797025547</v>
          </cell>
          <cell r="AB79">
            <v>2.0054741113063992</v>
          </cell>
          <cell r="AC79">
            <v>1.9022614064212062</v>
          </cell>
          <cell r="AD79">
            <v>3.8609455490687581</v>
          </cell>
          <cell r="AE79">
            <v>4.4091871115010939</v>
          </cell>
          <cell r="AF79">
            <v>4.7619919844854488</v>
          </cell>
          <cell r="AG79">
            <v>4.7784989054518157</v>
          </cell>
          <cell r="AH79">
            <v>8.1067834281473292</v>
          </cell>
        </row>
        <row r="80">
          <cell r="B80" t="str">
            <v>1.1.</v>
          </cell>
          <cell r="C80" t="str">
            <v>Vigencia</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5.8618079612510789E-3</v>
          </cell>
          <cell r="X80">
            <v>0.21694369848075859</v>
          </cell>
          <cell r="Y80">
            <v>1.158334867523519</v>
          </cell>
          <cell r="Z80">
            <v>0.54687645582133892</v>
          </cell>
          <cell r="AA80">
            <v>0.74075496615790093</v>
          </cell>
          <cell r="AB80">
            <v>1.9704061291355004</v>
          </cell>
          <cell r="AC80">
            <v>1.779676688316411</v>
          </cell>
          <cell r="AD80">
            <v>3.8295838941765794</v>
          </cell>
          <cell r="AE80">
            <v>4.4091871115010939</v>
          </cell>
          <cell r="AF80">
            <v>4.7619919844854488</v>
          </cell>
          <cell r="AG80">
            <v>4.7749510333022211</v>
          </cell>
          <cell r="AH80">
            <v>7.6779349395198437</v>
          </cell>
        </row>
        <row r="81">
          <cell r="B81" t="str">
            <v>1.2.</v>
          </cell>
          <cell r="C81" t="str">
            <v>Reservas de apropiación</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8.7649863641582788E-3</v>
          </cell>
          <cell r="Z81">
            <v>0</v>
          </cell>
          <cell r="AA81">
            <v>0</v>
          </cell>
          <cell r="AB81">
            <v>0</v>
          </cell>
          <cell r="AC81">
            <v>0</v>
          </cell>
          <cell r="AD81">
            <v>0</v>
          </cell>
          <cell r="AE81">
            <v>0</v>
          </cell>
          <cell r="AF81">
            <v>0</v>
          </cell>
          <cell r="AG81">
            <v>1.8349200927163104E-4</v>
          </cell>
          <cell r="AH81">
            <v>0</v>
          </cell>
        </row>
        <row r="82">
          <cell r="B82" t="str">
            <v>1.3.</v>
          </cell>
          <cell r="C82" t="str">
            <v>Reservas de Tesorería</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8.0613217578972482E-3</v>
          </cell>
          <cell r="Y82">
            <v>3.6630021274908428E-2</v>
          </cell>
          <cell r="Z82">
            <v>3.374365956707167E-2</v>
          </cell>
          <cell r="AA82">
            <v>2.2992141812354514E-2</v>
          </cell>
          <cell r="AB82">
            <v>3.5067982170898529E-2</v>
          </cell>
          <cell r="AC82">
            <v>0.12258471810479574</v>
          </cell>
          <cell r="AD82">
            <v>3.1361654892178382E-2</v>
          </cell>
          <cell r="AE82">
            <v>0</v>
          </cell>
          <cell r="AF82">
            <v>0</v>
          </cell>
          <cell r="AG82">
            <v>3.3643801403222115E-3</v>
          </cell>
          <cell r="AH82">
            <v>0.42884848862748448</v>
          </cell>
        </row>
        <row r="83">
          <cell r="A83" t="str">
            <v>2.</v>
          </cell>
          <cell r="B83" t="str">
            <v>EXTERNA</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2.6570669262162484E-2</v>
          </cell>
          <cell r="X83">
            <v>2.5752603726633643</v>
          </cell>
          <cell r="Y83">
            <v>2.7036324504337164</v>
          </cell>
          <cell r="Z83">
            <v>3.0920131834533295</v>
          </cell>
          <cell r="AA83">
            <v>2.6121735681421847</v>
          </cell>
          <cell r="AB83">
            <v>2.3725483192553698</v>
          </cell>
          <cell r="AC83">
            <v>1.7203735343678166</v>
          </cell>
          <cell r="AD83">
            <v>1.6758146334095465</v>
          </cell>
          <cell r="AE83">
            <v>1.9688709715518984</v>
          </cell>
          <cell r="AF83">
            <v>1.8296891287971035</v>
          </cell>
          <cell r="AG83">
            <v>1.8039099431494048</v>
          </cell>
          <cell r="AH83">
            <v>3.1083928929055431</v>
          </cell>
        </row>
        <row r="84">
          <cell r="B84" t="str">
            <v>2.1.</v>
          </cell>
          <cell r="C84" t="str">
            <v>Vigencia</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2.6570669262162484E-2</v>
          </cell>
          <cell r="X84">
            <v>2.4827687760633439</v>
          </cell>
          <cell r="Y84">
            <v>2.3717290928684984</v>
          </cell>
          <cell r="Z84">
            <v>2.9694648310983207</v>
          </cell>
          <cell r="AA84">
            <v>2.5868557263951413</v>
          </cell>
          <cell r="AB84">
            <v>2.2223976475814897</v>
          </cell>
          <cell r="AC84">
            <v>1.6947755357678469</v>
          </cell>
          <cell r="AD84">
            <v>1.662730071257261</v>
          </cell>
          <cell r="AE84">
            <v>1.9688709715518984</v>
          </cell>
          <cell r="AF84">
            <v>1.8296891287971035</v>
          </cell>
          <cell r="AG84">
            <v>1.7654823951279861</v>
          </cell>
          <cell r="AH84">
            <v>2.8025171306436141</v>
          </cell>
        </row>
        <row r="85">
          <cell r="B85" t="str">
            <v>2.2.</v>
          </cell>
          <cell r="C85" t="str">
            <v>Reservas de apropiación</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3.0448800456358543E-3</v>
          </cell>
          <cell r="Z85">
            <v>0</v>
          </cell>
          <cell r="AA85">
            <v>0</v>
          </cell>
          <cell r="AB85">
            <v>0</v>
          </cell>
          <cell r="AC85">
            <v>0</v>
          </cell>
          <cell r="AD85">
            <v>0</v>
          </cell>
          <cell r="AE85">
            <v>0</v>
          </cell>
          <cell r="AF85">
            <v>0</v>
          </cell>
          <cell r="AG85">
            <v>2.3863135805775619E-4</v>
          </cell>
          <cell r="AH85">
            <v>0</v>
          </cell>
        </row>
        <row r="86">
          <cell r="B86" t="str">
            <v>2.3.</v>
          </cell>
          <cell r="C86" t="str">
            <v>Reservas de Tesorería</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9.2491596600020501E-2</v>
          </cell>
          <cell r="Y86">
            <v>0.32885847751958203</v>
          </cell>
          <cell r="Z86">
            <v>0.12254835235500931</v>
          </cell>
          <cell r="AA86">
            <v>2.5317841747043459E-2</v>
          </cell>
          <cell r="AB86">
            <v>0.15015067167387955</v>
          </cell>
          <cell r="AC86">
            <v>2.5597998599969887E-2</v>
          </cell>
          <cell r="AD86">
            <v>1.308456215228531E-2</v>
          </cell>
          <cell r="AE86">
            <v>0</v>
          </cell>
          <cell r="AF86">
            <v>0</v>
          </cell>
          <cell r="AG86">
            <v>3.8188916663360752E-2</v>
          </cell>
          <cell r="AH86">
            <v>0.30587576226192892</v>
          </cell>
        </row>
        <row r="88">
          <cell r="A88" t="str">
            <v>INVERSION</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2.1829278234710266E-2</v>
          </cell>
          <cell r="X88">
            <v>2.1678382649659711</v>
          </cell>
          <cell r="Y88">
            <v>2.6587976397492286</v>
          </cell>
          <cell r="Z88">
            <v>2.8689222086327955</v>
          </cell>
          <cell r="AA88">
            <v>2.4535477993924362</v>
          </cell>
          <cell r="AB88">
            <v>2.431688959856845</v>
          </cell>
          <cell r="AC88">
            <v>2.7307480798130963</v>
          </cell>
          <cell r="AD88">
            <v>3.1488231010274066</v>
          </cell>
          <cell r="AE88">
            <v>3.2185562546703403</v>
          </cell>
          <cell r="AF88">
            <v>3.1715934942902742</v>
          </cell>
          <cell r="AG88">
            <v>3.7055293812359529</v>
          </cell>
          <cell r="AH88">
            <v>1.9741328087696317</v>
          </cell>
        </row>
        <row r="89">
          <cell r="B89" t="str">
            <v>1.1.</v>
          </cell>
          <cell r="C89" t="str">
            <v>Vigencia</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1.6463320067181791E-2</v>
          </cell>
          <cell r="X89">
            <v>1.4877514432629979</v>
          </cell>
          <cell r="Y89">
            <v>1.9429573925247852</v>
          </cell>
          <cell r="Z89">
            <v>2.235181409785775</v>
          </cell>
          <cell r="AA89">
            <v>1.601247810495245</v>
          </cell>
          <cell r="AB89">
            <v>1.6850029573378074</v>
          </cell>
          <cell r="AC89">
            <v>1.9121020194272891</v>
          </cell>
          <cell r="AD89">
            <v>1.8860506810747892</v>
          </cell>
          <cell r="AE89">
            <v>1.5054377603796076</v>
          </cell>
          <cell r="AF89">
            <v>1.4290667926762268</v>
          </cell>
          <cell r="AG89">
            <v>1.9695426112141126</v>
          </cell>
          <cell r="AH89">
            <v>0.33074146139510602</v>
          </cell>
        </row>
        <row r="90">
          <cell r="B90" t="str">
            <v>1.2.</v>
          </cell>
          <cell r="C90" t="str">
            <v>Reservas de apropiación</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0.21829065496045555</v>
          </cell>
          <cell r="Y90">
            <v>0.50212701448444486</v>
          </cell>
          <cell r="Z90">
            <v>0.46193201203071588</v>
          </cell>
          <cell r="AA90">
            <v>0.60421456415993469</v>
          </cell>
          <cell r="AB90">
            <v>0.5300450826214157</v>
          </cell>
          <cell r="AC90">
            <v>0.58928348121633634</v>
          </cell>
          <cell r="AD90">
            <v>0.61169815377892489</v>
          </cell>
          <cell r="AE90">
            <v>0.84003120954411703</v>
          </cell>
          <cell r="AF90">
            <v>0.90771637418378837</v>
          </cell>
          <cell r="AG90">
            <v>0.87948543134738233</v>
          </cell>
          <cell r="AH90">
            <v>0.83257474825113809</v>
          </cell>
        </row>
        <row r="91">
          <cell r="B91" t="str">
            <v>1.3.</v>
          </cell>
          <cell r="C91" t="str">
            <v>Reservas de Tesorería</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5.3659581675284743E-3</v>
          </cell>
          <cell r="X91">
            <v>0.46179616674251822</v>
          </cell>
          <cell r="Y91">
            <v>0.21371323273999837</v>
          </cell>
          <cell r="Z91">
            <v>0.17180878681630526</v>
          </cell>
          <cell r="AA91">
            <v>0.24808542473725662</v>
          </cell>
          <cell r="AB91">
            <v>0.21664091989762208</v>
          </cell>
          <cell r="AC91">
            <v>0.22936257916947103</v>
          </cell>
          <cell r="AD91">
            <v>0.65107426617369268</v>
          </cell>
          <cell r="AE91">
            <v>0.87308728474661623</v>
          </cell>
          <cell r="AF91">
            <v>0.83481032743025951</v>
          </cell>
          <cell r="AG91">
            <v>0.85650133867445843</v>
          </cell>
          <cell r="AH91">
            <v>0.81081659912338766</v>
          </cell>
        </row>
        <row r="93">
          <cell r="A93" t="str">
            <v>OTROS</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6.0869119130798899E-3</v>
          </cell>
          <cell r="X93">
            <v>0.59659517576569887</v>
          </cell>
          <cell r="Y93">
            <v>0.45989883452738484</v>
          </cell>
          <cell r="Z93">
            <v>0.36417449064547558</v>
          </cell>
          <cell r="AA93">
            <v>0.27684833910994011</v>
          </cell>
          <cell r="AB93">
            <v>0.21210991852253427</v>
          </cell>
          <cell r="AC93">
            <v>0.16667584165257801</v>
          </cell>
          <cell r="AD93">
            <v>0.13565093520757607</v>
          </cell>
          <cell r="AE93">
            <v>0.10864484063082802</v>
          </cell>
          <cell r="AF93">
            <v>0.10889709122017202</v>
          </cell>
          <cell r="AG93">
            <v>0</v>
          </cell>
          <cell r="AH93">
            <v>0</v>
          </cell>
        </row>
        <row r="94">
          <cell r="B94" t="str">
            <v>DEVOLUCION DE IMPUESTOS</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row>
        <row r="95">
          <cell r="B95" t="str">
            <v>PREPAGO DEUDA</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row>
        <row r="96">
          <cell r="X96">
            <v>0</v>
          </cell>
          <cell r="Y96">
            <v>0</v>
          </cell>
          <cell r="Z96">
            <v>0</v>
          </cell>
          <cell r="AA96">
            <v>0</v>
          </cell>
          <cell r="AB96">
            <v>0</v>
          </cell>
          <cell r="AC96">
            <v>0</v>
          </cell>
          <cell r="AD96">
            <v>0</v>
          </cell>
          <cell r="AE96">
            <v>0</v>
          </cell>
          <cell r="AF96">
            <v>0</v>
          </cell>
          <cell r="AG96">
            <v>0</v>
          </cell>
          <cell r="AH96">
            <v>0</v>
          </cell>
        </row>
        <row r="97">
          <cell r="B97" t="str">
            <v>TESOROS</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row>
        <row r="98">
          <cell r="B98" t="str">
            <v>RECOMPRA TESOROS</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row>
        <row r="99">
          <cell r="B99" t="str">
            <v>ORO Y PLATINO</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row>
        <row r="100">
          <cell r="X100">
            <v>0</v>
          </cell>
          <cell r="Y100">
            <v>0</v>
          </cell>
          <cell r="Z100">
            <v>0</v>
          </cell>
          <cell r="AA100">
            <v>0</v>
          </cell>
          <cell r="AB100">
            <v>0</v>
          </cell>
          <cell r="AC100">
            <v>0</v>
          </cell>
          <cell r="AD100">
            <v>0</v>
          </cell>
          <cell r="AE100">
            <v>0</v>
          </cell>
          <cell r="AF100">
            <v>0</v>
          </cell>
          <cell r="AG100">
            <v>0</v>
          </cell>
          <cell r="AH100">
            <v>0</v>
          </cell>
        </row>
        <row r="101">
          <cell r="A101" t="str">
            <v>TOTAL</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0.13506642412451927</v>
          </cell>
          <cell r="X101">
            <v>12.62457870285734</v>
          </cell>
          <cell r="Y101">
            <v>14.177319713662376</v>
          </cell>
          <cell r="Z101">
            <v>15.252367085907</v>
          </cell>
          <cell r="AA101">
            <v>15.700624335836299</v>
          </cell>
          <cell r="AB101">
            <v>17.780763610912611</v>
          </cell>
          <cell r="AC101">
            <v>17.659209947222791</v>
          </cell>
          <cell r="AD101">
            <v>20.540147776643565</v>
          </cell>
          <cell r="AE101">
            <v>20.824067969916236</v>
          </cell>
          <cell r="AF101">
            <v>21.462414090645495</v>
          </cell>
          <cell r="AG101">
            <v>22.023995396846058</v>
          </cell>
          <cell r="AH101">
            <v>27.540119761056093</v>
          </cell>
        </row>
        <row r="102">
          <cell r="C102" t="str">
            <v>Vigencia</v>
          </cell>
          <cell r="W102">
            <v>0.11844129949404754</v>
          </cell>
          <cell r="X102">
            <v>11.232266168851462</v>
          </cell>
          <cell r="Y102">
            <v>12.584142440022056</v>
          </cell>
          <cell r="Z102">
            <v>13.96620230360387</v>
          </cell>
          <cell r="AA102">
            <v>14.433161581549511</v>
          </cell>
          <cell r="AB102">
            <v>16.474487243735805</v>
          </cell>
          <cell r="AC102">
            <v>16.117906558053892</v>
          </cell>
          <cell r="AD102">
            <v>18.511595246075736</v>
          </cell>
          <cell r="AE102">
            <v>18.266993307261046</v>
          </cell>
          <cell r="AF102">
            <v>18.862158576606884</v>
          </cell>
          <cell r="AG102">
            <v>19.47981809369556</v>
          </cell>
          <cell r="AH102">
            <v>23.44121584392407</v>
          </cell>
        </row>
        <row r="103">
          <cell r="C103" t="str">
            <v>Reservas de apropiación</v>
          </cell>
          <cell r="W103">
            <v>0</v>
          </cell>
          <cell r="X103">
            <v>0.41218069576602312</v>
          </cell>
          <cell r="Y103">
            <v>0.8237372293672317</v>
          </cell>
          <cell r="Z103">
            <v>0.66936500464263482</v>
          </cell>
          <cell r="AA103">
            <v>0.8584805822449163</v>
          </cell>
          <cell r="AB103">
            <v>0.71922897781698336</v>
          </cell>
          <cell r="AC103">
            <v>0.87144541623826666</v>
          </cell>
          <cell r="AD103">
            <v>0.83633830090319161</v>
          </cell>
          <cell r="AE103">
            <v>1.1035399815750189</v>
          </cell>
          <cell r="AF103">
            <v>1.1910393776566606</v>
          </cell>
          <cell r="AG103">
            <v>1.0594538432112894</v>
          </cell>
          <cell r="AH103">
            <v>1.554551273941827</v>
          </cell>
        </row>
        <row r="104">
          <cell r="C104" t="str">
            <v>Reservas de Tesorería</v>
          </cell>
          <cell r="W104">
            <v>1.0538212717391835E-2</v>
          </cell>
          <cell r="X104">
            <v>0.98013183823985239</v>
          </cell>
          <cell r="Y104">
            <v>0.76944004427308943</v>
          </cell>
          <cell r="Z104">
            <v>0.61679977766049232</v>
          </cell>
          <cell r="AA104">
            <v>0.40898217204187148</v>
          </cell>
          <cell r="AB104">
            <v>0.58704738935982081</v>
          </cell>
          <cell r="AC104">
            <v>0.66985797293063343</v>
          </cell>
          <cell r="AD104">
            <v>1.1922142296646336</v>
          </cell>
          <cell r="AE104">
            <v>1.4535346810801717</v>
          </cell>
          <cell r="AF104">
            <v>1.4092161363819491</v>
          </cell>
          <cell r="AG104">
            <v>1.4847234599392169</v>
          </cell>
          <cell r="AH104">
            <v>2.5443526431901935</v>
          </cell>
        </row>
        <row r="105">
          <cell r="C105" t="str">
            <v>Otros</v>
          </cell>
          <cell r="W105">
            <v>6.0869119130798899E-3</v>
          </cell>
          <cell r="X105">
            <v>0.59659517576569887</v>
          </cell>
          <cell r="Y105">
            <v>0.45989883452738484</v>
          </cell>
          <cell r="Z105">
            <v>0.36417449064547558</v>
          </cell>
          <cell r="AA105">
            <v>0.27684833910994011</v>
          </cell>
          <cell r="AB105">
            <v>0.21210991852253427</v>
          </cell>
          <cell r="AC105">
            <v>0.16667584165257801</v>
          </cell>
          <cell r="AD105">
            <v>0.13565093520757607</v>
          </cell>
          <cell r="AE105">
            <v>0.10864484063082802</v>
          </cell>
          <cell r="AF105">
            <v>0.10889709122017202</v>
          </cell>
          <cell r="AG105">
            <v>0</v>
          </cell>
          <cell r="AH105">
            <v>0</v>
          </cell>
        </row>
        <row r="107">
          <cell r="C107" t="str">
            <v xml:space="preserve">PIB </v>
          </cell>
          <cell r="D107">
            <v>132768</v>
          </cell>
          <cell r="E107">
            <v>155886</v>
          </cell>
          <cell r="F107">
            <v>189614</v>
          </cell>
          <cell r="G107">
            <v>243160</v>
          </cell>
          <cell r="H107">
            <v>322384</v>
          </cell>
          <cell r="I107">
            <v>405108</v>
          </cell>
          <cell r="J107">
            <v>532270</v>
          </cell>
          <cell r="K107">
            <v>716029</v>
          </cell>
          <cell r="L107">
            <v>909487</v>
          </cell>
          <cell r="M107">
            <v>1188817</v>
          </cell>
          <cell r="N107">
            <v>1579130</v>
          </cell>
          <cell r="O107">
            <v>1982773</v>
          </cell>
          <cell r="P107">
            <v>2497298</v>
          </cell>
          <cell r="Q107">
            <v>3054137</v>
          </cell>
          <cell r="R107">
            <v>3856584</v>
          </cell>
          <cell r="S107">
            <v>4965883</v>
          </cell>
          <cell r="T107">
            <v>6787956</v>
          </cell>
          <cell r="U107">
            <v>8824408</v>
          </cell>
          <cell r="V107">
            <v>11731348</v>
          </cell>
          <cell r="W107">
            <v>15126718</v>
          </cell>
          <cell r="X107">
            <v>20228122</v>
          </cell>
          <cell r="Y107">
            <v>26240771</v>
          </cell>
          <cell r="Z107">
            <v>33138510</v>
          </cell>
          <cell r="AA107">
            <v>43591737.045630313</v>
          </cell>
          <cell r="AB107">
            <v>56896914.977212004</v>
          </cell>
          <cell r="AC107">
            <v>72407014</v>
          </cell>
          <cell r="AD107">
            <v>88968056</v>
          </cell>
          <cell r="AE107">
            <v>111083968</v>
          </cell>
          <cell r="AF107">
            <v>110827570</v>
          </cell>
          <cell r="AG107">
            <v>108996572</v>
          </cell>
          <cell r="AH107">
            <v>132837529</v>
          </cell>
        </row>
        <row r="108">
          <cell r="A108" t="str">
            <v>C:\CARLOSJ\PRES9194\PAGOS.XLS</v>
          </cell>
          <cell r="AD108" t="str">
            <v>Rango REZ 2</v>
          </cell>
        </row>
      </sheetData>
      <sheetData sheetId="2" refreshError="1">
        <row r="1">
          <cell r="A1" t="str">
            <v>PAGOS REZAGO POR NUMERALES CON RECURSOS DE LA NACION</v>
          </cell>
          <cell r="O1" t="str">
            <v>PAGOS REZAGO POR NUMERALES CON RECURSOS DE LA NACION</v>
          </cell>
          <cell r="AC1" t="str">
            <v>PAGOS REZAGO POR NUMERALES CON RECURSOS DE LA NACION</v>
          </cell>
          <cell r="AP1" t="str">
            <v>PAGOS REZAGO POR NUMERALES CON RECURSOS DE LA NACION</v>
          </cell>
        </row>
        <row r="2">
          <cell r="A2" t="str">
            <v>Clasificación anterior al Decreto 568 de 1996</v>
          </cell>
          <cell r="O2" t="str">
            <v>Clasificación anterior al Decreto 568 de 1996</v>
          </cell>
          <cell r="AC2" t="str">
            <v>Clasificación FMI</v>
          </cell>
          <cell r="AP2" t="str">
            <v>Clasificación FMI</v>
          </cell>
        </row>
        <row r="3">
          <cell r="A3" t="str">
            <v>Millones de pesos</v>
          </cell>
          <cell r="O3" t="str">
            <v>Participación porcentual en el PIB</v>
          </cell>
          <cell r="AC3" t="str">
            <v>Millones de pesos</v>
          </cell>
          <cell r="AP3" t="str">
            <v>Participación porcentual en el PIB</v>
          </cell>
        </row>
        <row r="5">
          <cell r="A5" t="str">
            <v/>
          </cell>
          <cell r="O5" t="str">
            <v/>
          </cell>
          <cell r="AC5" t="str">
            <v/>
          </cell>
          <cell r="AP5" t="str">
            <v/>
          </cell>
        </row>
        <row r="6">
          <cell r="A6" t="str">
            <v>CONCEPTOS</v>
          </cell>
          <cell r="D6">
            <v>1990</v>
          </cell>
          <cell r="E6">
            <v>1991</v>
          </cell>
          <cell r="F6">
            <v>1992</v>
          </cell>
          <cell r="G6">
            <v>1993</v>
          </cell>
          <cell r="H6">
            <v>1994</v>
          </cell>
          <cell r="I6">
            <v>1995</v>
          </cell>
          <cell r="J6">
            <v>1996</v>
          </cell>
          <cell r="K6">
            <v>1997</v>
          </cell>
          <cell r="L6">
            <v>1998</v>
          </cell>
          <cell r="M6">
            <v>1999</v>
          </cell>
          <cell r="O6" t="str">
            <v>CONCEPTOS</v>
          </cell>
          <cell r="R6">
            <v>1990</v>
          </cell>
          <cell r="S6">
            <v>1991</v>
          </cell>
          <cell r="T6">
            <v>1992</v>
          </cell>
          <cell r="U6">
            <v>1993</v>
          </cell>
          <cell r="V6">
            <v>1994</v>
          </cell>
          <cell r="W6">
            <v>1995</v>
          </cell>
          <cell r="X6">
            <v>1996</v>
          </cell>
          <cell r="Y6">
            <v>1997</v>
          </cell>
          <cell r="Z6">
            <v>1998</v>
          </cell>
          <cell r="AA6">
            <v>1999</v>
          </cell>
          <cell r="AC6" t="str">
            <v>CONCEPTOS</v>
          </cell>
          <cell r="AF6">
            <v>1990</v>
          </cell>
          <cell r="AG6">
            <v>1991</v>
          </cell>
          <cell r="AH6">
            <v>1992</v>
          </cell>
          <cell r="AI6">
            <v>1993</v>
          </cell>
          <cell r="AJ6">
            <v>1994</v>
          </cell>
          <cell r="AK6">
            <v>1995</v>
          </cell>
          <cell r="AL6">
            <v>1996</v>
          </cell>
          <cell r="AM6">
            <v>1997</v>
          </cell>
          <cell r="AN6">
            <v>1998</v>
          </cell>
          <cell r="AP6" t="str">
            <v>CONCEPTOS</v>
          </cell>
          <cell r="AS6">
            <v>1990</v>
          </cell>
          <cell r="AT6">
            <v>1991</v>
          </cell>
          <cell r="AU6">
            <v>1992</v>
          </cell>
          <cell r="AV6">
            <v>1993</v>
          </cell>
          <cell r="AW6">
            <v>1994</v>
          </cell>
          <cell r="AX6">
            <v>1995</v>
          </cell>
          <cell r="AY6">
            <v>1996</v>
          </cell>
          <cell r="AZ6">
            <v>1997</v>
          </cell>
          <cell r="BA6">
            <v>1998</v>
          </cell>
        </row>
        <row r="9">
          <cell r="A9" t="str">
            <v>FUNCIONAMIENTO</v>
          </cell>
          <cell r="D9">
            <v>123729.91899999999</v>
          </cell>
          <cell r="E9">
            <v>131214</v>
          </cell>
          <cell r="F9">
            <v>164410.74299999999</v>
          </cell>
          <cell r="G9">
            <v>159917.5</v>
          </cell>
          <cell r="H9">
            <v>213005.954</v>
          </cell>
          <cell r="I9">
            <v>415959.912794</v>
          </cell>
          <cell r="J9">
            <v>641756.74237899994</v>
          </cell>
          <cell r="K9">
            <v>835148.20726977009</v>
          </cell>
          <cell r="L9">
            <v>2285852.6821050001</v>
          </cell>
          <cell r="M9">
            <v>1485900</v>
          </cell>
          <cell r="O9" t="str">
            <v>FUNCIONAMIENTO</v>
          </cell>
          <cell r="R9">
            <v>0.81795711556387052</v>
          </cell>
          <cell r="S9">
            <v>0.64867119152237662</v>
          </cell>
          <cell r="T9">
            <v>0.62654692196353523</v>
          </cell>
          <cell r="U9">
            <v>0.48257299438025431</v>
          </cell>
          <cell r="V9">
            <v>0.48863837148089051</v>
          </cell>
          <cell r="W9">
            <v>0.73107639133087909</v>
          </cell>
          <cell r="X9">
            <v>0.88631847513971485</v>
          </cell>
          <cell r="Y9">
            <v>0.92865348121904812</v>
          </cell>
          <cell r="Z9">
            <v>2.0971785076919667</v>
          </cell>
          <cell r="AA9">
            <v>1.1185844927904371</v>
          </cell>
          <cell r="AC9" t="str">
            <v>FUNCIONAMIENTO</v>
          </cell>
          <cell r="AF9">
            <v>89140.313999999998</v>
          </cell>
          <cell r="AG9">
            <v>176964.53999999998</v>
          </cell>
          <cell r="AH9">
            <v>117818.72899999999</v>
          </cell>
          <cell r="AI9">
            <v>216205.12800000003</v>
          </cell>
          <cell r="AJ9">
            <v>319294.68099999998</v>
          </cell>
          <cell r="AK9">
            <v>646203.80228099995</v>
          </cell>
          <cell r="AL9">
            <v>839306.87954727001</v>
          </cell>
          <cell r="AM9">
            <v>1522496.2050319389</v>
          </cell>
          <cell r="AN9">
            <v>1837208.8143756536</v>
          </cell>
          <cell r="AP9" t="str">
            <v>FUNCIONAMIENTO</v>
          </cell>
          <cell r="AS9">
            <v>0.58929121354955138</v>
          </cell>
          <cell r="AT9">
            <v>0.87484414025187296</v>
          </cell>
          <cell r="AU9">
            <v>0.4489911100554172</v>
          </cell>
          <cell r="AV9">
            <v>0.65242863363500658</v>
          </cell>
          <cell r="AW9">
            <v>0.73246606499248568</v>
          </cell>
          <cell r="AX9">
            <v>1.1357448862382318</v>
          </cell>
          <cell r="AY9">
            <v>1.159151348993994</v>
          </cell>
          <cell r="AZ9">
            <v>1.6929586732489867</v>
          </cell>
          <cell r="BA9">
            <v>1.6855656840066984</v>
          </cell>
        </row>
        <row r="10">
          <cell r="A10" t="str">
            <v>1.</v>
          </cell>
          <cell r="B10" t="str">
            <v>SERVICIOS PERSONALES</v>
          </cell>
          <cell r="D10">
            <v>2247.0709999999999</v>
          </cell>
          <cell r="E10">
            <v>3962</v>
          </cell>
          <cell r="F10">
            <v>7955.0549999999994</v>
          </cell>
          <cell r="G10">
            <v>9715.991</v>
          </cell>
          <cell r="H10">
            <v>13646.7</v>
          </cell>
          <cell r="I10">
            <v>13848.165999999999</v>
          </cell>
          <cell r="J10">
            <v>17871.853643999999</v>
          </cell>
          <cell r="K10">
            <v>20857.09673737</v>
          </cell>
          <cell r="L10">
            <v>105498.42095899931</v>
          </cell>
          <cell r="M10">
            <v>75200</v>
          </cell>
          <cell r="O10" t="str">
            <v>1.</v>
          </cell>
          <cell r="P10" t="str">
            <v>SERVICIOS PERSONALES</v>
          </cell>
          <cell r="R10">
            <v>1.4854998115914245E-2</v>
          </cell>
          <cell r="S10">
            <v>1.9586593357504962E-2</v>
          </cell>
          <cell r="T10">
            <v>3.0315629826577883E-2</v>
          </cell>
          <cell r="U10">
            <v>2.9319335721491403E-2</v>
          </cell>
          <cell r="V10">
            <v>3.1305703614689886E-2</v>
          </cell>
          <cell r="W10">
            <v>2.4339045457115523E-2</v>
          </cell>
          <cell r="X10">
            <v>2.4682489522354838E-2</v>
          </cell>
          <cell r="Y10">
            <v>2.3192309250835177E-2</v>
          </cell>
          <cell r="Z10">
            <v>9.6790586183755675E-2</v>
          </cell>
          <cell r="AA10">
            <v>5.661050801389117E-2</v>
          </cell>
          <cell r="AC10" t="str">
            <v>1.</v>
          </cell>
          <cell r="AD10" t="str">
            <v>SERVICIOS PERSONALES</v>
          </cell>
          <cell r="AF10">
            <v>3846.0649999999996</v>
          </cell>
          <cell r="AG10">
            <v>8483.9179999999997</v>
          </cell>
          <cell r="AH10">
            <v>6046.9699999999993</v>
          </cell>
          <cell r="AI10">
            <v>13236.657999999999</v>
          </cell>
          <cell r="AJ10">
            <v>9998.2980000000007</v>
          </cell>
          <cell r="AK10">
            <v>21676.194643999999</v>
          </cell>
          <cell r="AL10">
            <v>18983.184096550001</v>
          </cell>
          <cell r="AM10">
            <v>102119.67773078381</v>
          </cell>
          <cell r="AN10">
            <v>78020.920808873154</v>
          </cell>
          <cell r="AP10" t="str">
            <v>1.</v>
          </cell>
          <cell r="AQ10" t="str">
            <v>SERVICIOS PERSONALES</v>
          </cell>
          <cell r="AS10">
            <v>2.5425671164232777E-2</v>
          </cell>
          <cell r="AT10">
            <v>4.1941204428171827E-2</v>
          </cell>
          <cell r="AU10">
            <v>2.3044178084553991E-2</v>
          </cell>
          <cell r="AV10">
            <v>3.9943431373347806E-2</v>
          </cell>
          <cell r="AW10">
            <v>2.2936222957883352E-2</v>
          </cell>
          <cell r="AX10">
            <v>3.8097310992488108E-2</v>
          </cell>
          <cell r="AY10">
            <v>2.6217327642526454E-2</v>
          </cell>
          <cell r="AZ10">
            <v>0.11355325126744409</v>
          </cell>
          <cell r="BA10">
            <v>7.1581077622214717E-2</v>
          </cell>
        </row>
        <row r="11">
          <cell r="B11" t="str">
            <v>1.1.</v>
          </cell>
          <cell r="C11" t="str">
            <v>Reservas de apropiación</v>
          </cell>
          <cell r="D11">
            <v>858.06499999999994</v>
          </cell>
          <cell r="E11">
            <v>974</v>
          </cell>
          <cell r="F11">
            <v>445.137</v>
          </cell>
          <cell r="G11">
            <v>4114.1580000000004</v>
          </cell>
          <cell r="H11">
            <v>4524.2</v>
          </cell>
          <cell r="I11">
            <v>8374.0679999999993</v>
          </cell>
          <cell r="J11">
            <v>4569.7269999999999</v>
          </cell>
          <cell r="K11">
            <v>6443.6396408199998</v>
          </cell>
          <cell r="L11">
            <v>9822.3828690355003</v>
          </cell>
          <cell r="M11">
            <v>7001.4620601623456</v>
          </cell>
          <cell r="P11" t="str">
            <v>1.1.</v>
          </cell>
          <cell r="Q11" t="str">
            <v>Reservas de apropiación</v>
          </cell>
          <cell r="R11">
            <v>5.6725194523590729E-3</v>
          </cell>
          <cell r="S11">
            <v>4.8150787304921333E-3</v>
          </cell>
          <cell r="T11">
            <v>1.6963564066010104E-3</v>
          </cell>
          <cell r="U11">
            <v>1.2415036161855195E-2</v>
          </cell>
          <cell r="V11">
            <v>1.0378572423632085E-2</v>
          </cell>
          <cell r="W11">
            <v>1.4717964943009525E-2</v>
          </cell>
          <cell r="X11">
            <v>6.3111662082902635E-3</v>
          </cell>
          <cell r="Y11">
            <v>7.1650855884979759E-3</v>
          </cell>
          <cell r="Z11">
            <v>9.0116438423728604E-3</v>
          </cell>
          <cell r="AA11">
            <v>5.2706957987470136E-3</v>
          </cell>
          <cell r="AD11" t="str">
            <v>1.1.</v>
          </cell>
          <cell r="AE11" t="str">
            <v>Reservas de apropiación</v>
          </cell>
          <cell r="AF11">
            <v>858.06499999999994</v>
          </cell>
          <cell r="AG11">
            <v>974</v>
          </cell>
          <cell r="AH11">
            <v>445.137</v>
          </cell>
          <cell r="AI11">
            <v>4114.1580000000004</v>
          </cell>
          <cell r="AJ11">
            <v>4524.2</v>
          </cell>
          <cell r="AK11">
            <v>8374.0679999999993</v>
          </cell>
          <cell r="AL11">
            <v>4569.7269999999999</v>
          </cell>
          <cell r="AM11">
            <v>6443.6396408199998</v>
          </cell>
          <cell r="AN11">
            <v>9822.3828690355003</v>
          </cell>
          <cell r="AQ11" t="str">
            <v>1.1.</v>
          </cell>
          <cell r="AR11" t="str">
            <v>Reservas de apropiación</v>
          </cell>
          <cell r="AS11">
            <v>5.6725194523590729E-3</v>
          </cell>
          <cell r="AT11">
            <v>4.8150787304921333E-3</v>
          </cell>
          <cell r="AU11">
            <v>1.6963564066010104E-3</v>
          </cell>
          <cell r="AV11">
            <v>1.2415036161855195E-2</v>
          </cell>
          <cell r="AW11">
            <v>1.0378572423632085E-2</v>
          </cell>
          <cell r="AX11">
            <v>1.4717964943009525E-2</v>
          </cell>
          <cell r="AY11">
            <v>6.3111662082902635E-3</v>
          </cell>
          <cell r="AZ11">
            <v>7.1650855884979759E-3</v>
          </cell>
          <cell r="BA11">
            <v>9.0116438423728604E-3</v>
          </cell>
        </row>
        <row r="12">
          <cell r="B12" t="str">
            <v>1.2.</v>
          </cell>
          <cell r="C12" t="str">
            <v>Reservas de Tesorería</v>
          </cell>
          <cell r="D12">
            <v>1389.0060000000001</v>
          </cell>
          <cell r="E12">
            <v>2988</v>
          </cell>
          <cell r="F12">
            <v>7509.9179999999997</v>
          </cell>
          <cell r="G12">
            <v>5601.8329999999996</v>
          </cell>
          <cell r="H12">
            <v>9122.5</v>
          </cell>
          <cell r="I12">
            <v>5474.098</v>
          </cell>
          <cell r="J12">
            <v>13302.126644</v>
          </cell>
          <cell r="K12">
            <v>14413.457096550001</v>
          </cell>
          <cell r="L12">
            <v>95676.038089963811</v>
          </cell>
          <cell r="M12">
            <v>68198.537939837654</v>
          </cell>
          <cell r="P12" t="str">
            <v>1.2.</v>
          </cell>
          <cell r="Q12" t="str">
            <v>Reservas de Tesorería</v>
          </cell>
          <cell r="R12">
            <v>9.18247866355517E-3</v>
          </cell>
          <cell r="S12">
            <v>1.4771514627012828E-2</v>
          </cell>
          <cell r="T12">
            <v>2.8619273419976873E-2</v>
          </cell>
          <cell r="U12">
            <v>1.6904299559636207E-2</v>
          </cell>
          <cell r="V12">
            <v>2.09271311910578E-2</v>
          </cell>
          <cell r="W12">
            <v>9.6210805141059962E-3</v>
          </cell>
          <cell r="X12">
            <v>1.8371323314064575E-2</v>
          </cell>
          <cell r="Y12">
            <v>1.6027223662337199E-2</v>
          </cell>
          <cell r="Z12">
            <v>8.7778942341382823E-2</v>
          </cell>
          <cell r="AA12">
            <v>5.1339812215144151E-2</v>
          </cell>
          <cell r="AD12" t="str">
            <v>1.2.</v>
          </cell>
          <cell r="AE12" t="str">
            <v>Reservas de Tesorería</v>
          </cell>
          <cell r="AF12">
            <v>1389.0060000000001</v>
          </cell>
          <cell r="AG12">
            <v>2988</v>
          </cell>
          <cell r="AH12">
            <v>7509.9179999999997</v>
          </cell>
          <cell r="AI12">
            <v>5601.8329999999996</v>
          </cell>
          <cell r="AJ12">
            <v>9122.5</v>
          </cell>
          <cell r="AK12">
            <v>5474.098</v>
          </cell>
          <cell r="AL12">
            <v>13302.126644</v>
          </cell>
          <cell r="AM12">
            <v>14413.457096550001</v>
          </cell>
          <cell r="AN12">
            <v>95676.038089963811</v>
          </cell>
          <cell r="AQ12" t="str">
            <v>1.2.</v>
          </cell>
          <cell r="AR12" t="str">
            <v>Reservas de Tesorería</v>
          </cell>
          <cell r="AS12">
            <v>9.18247866355517E-3</v>
          </cell>
          <cell r="AT12">
            <v>1.4771514627012828E-2</v>
          </cell>
          <cell r="AU12">
            <v>2.8619273419976873E-2</v>
          </cell>
          <cell r="AV12">
            <v>1.6904299559636207E-2</v>
          </cell>
          <cell r="AW12">
            <v>2.09271311910578E-2</v>
          </cell>
          <cell r="AX12">
            <v>9.6210805141059962E-3</v>
          </cell>
          <cell r="AY12">
            <v>1.8371323314064575E-2</v>
          </cell>
          <cell r="AZ12">
            <v>1.6027223662337199E-2</v>
          </cell>
          <cell r="BA12">
            <v>8.7778942341382823E-2</v>
          </cell>
        </row>
        <row r="13">
          <cell r="A13" t="str">
            <v>2.</v>
          </cell>
          <cell r="B13" t="str">
            <v>GASTOS GENERALES</v>
          </cell>
          <cell r="D13">
            <v>18051.448</v>
          </cell>
          <cell r="E13">
            <v>29735</v>
          </cell>
          <cell r="F13">
            <v>34337.877999999997</v>
          </cell>
          <cell r="G13">
            <v>65342.004000000001</v>
          </cell>
          <cell r="H13">
            <v>106127.378</v>
          </cell>
          <cell r="I13">
            <v>87580.122344000003</v>
          </cell>
          <cell r="J13">
            <v>134876.57942200001</v>
          </cell>
          <cell r="K13">
            <v>192746.48682922003</v>
          </cell>
          <cell r="L13">
            <v>277181.22641800006</v>
          </cell>
          <cell r="M13">
            <v>301900</v>
          </cell>
          <cell r="O13" t="str">
            <v>2.</v>
          </cell>
          <cell r="P13" t="str">
            <v>GASTOS GENERALES</v>
          </cell>
          <cell r="R13">
            <v>0.11933500366900909</v>
          </cell>
          <cell r="S13">
            <v>0.14699832243448008</v>
          </cell>
          <cell r="T13">
            <v>0.13085697062788282</v>
          </cell>
          <cell r="U13">
            <v>0.19717846095071867</v>
          </cell>
          <cell r="V13">
            <v>0.24345755685053236</v>
          </cell>
          <cell r="W13">
            <v>0.15392771713383238</v>
          </cell>
          <cell r="X13">
            <v>0.18627557189694358</v>
          </cell>
          <cell r="Y13">
            <v>0.21432686369747259</v>
          </cell>
          <cell r="Z13">
            <v>0.25430270083906864</v>
          </cell>
          <cell r="AA13">
            <v>0.22727011129512956</v>
          </cell>
          <cell r="AD13" t="str">
            <v>1.3.</v>
          </cell>
          <cell r="AE13" t="str">
            <v>Deuda Flotante</v>
          </cell>
          <cell r="AF13">
            <v>1598.9939999999999</v>
          </cell>
          <cell r="AG13">
            <v>4521.9179999999997</v>
          </cell>
          <cell r="AH13">
            <v>-1908.085</v>
          </cell>
          <cell r="AI13">
            <v>3520.6670000000004</v>
          </cell>
          <cell r="AJ13">
            <v>-3648.402</v>
          </cell>
          <cell r="AK13">
            <v>7828.028644</v>
          </cell>
          <cell r="AL13">
            <v>1111.3304525500007</v>
          </cell>
          <cell r="AM13">
            <v>81262.580993413809</v>
          </cell>
          <cell r="AN13">
            <v>-27477.500150126158</v>
          </cell>
          <cell r="AQ13" t="str">
            <v>1.3.</v>
          </cell>
          <cell r="AR13" t="str">
            <v>Deuda Flotante</v>
          </cell>
          <cell r="AS13">
            <v>1.0570673048318536E-2</v>
          </cell>
          <cell r="AT13">
            <v>2.2354611070666865E-2</v>
          </cell>
          <cell r="AU13">
            <v>-7.2714517420238902E-3</v>
          </cell>
          <cell r="AV13">
            <v>1.0624095651856406E-2</v>
          </cell>
          <cell r="AW13">
            <v>-8.36948065680654E-3</v>
          </cell>
          <cell r="AX13">
            <v>1.3758265535372582E-2</v>
          </cell>
          <cell r="AY13">
            <v>1.5348381201716185E-3</v>
          </cell>
          <cell r="AZ13">
            <v>9.0360942016608936E-2</v>
          </cell>
          <cell r="BA13">
            <v>-2.5209508561540958E-2</v>
          </cell>
        </row>
        <row r="14">
          <cell r="B14" t="str">
            <v>2.1.</v>
          </cell>
          <cell r="C14" t="str">
            <v>Reservas de apropiación</v>
          </cell>
          <cell r="D14">
            <v>10424.849</v>
          </cell>
          <cell r="E14">
            <v>12493</v>
          </cell>
          <cell r="F14">
            <v>24202.214</v>
          </cell>
          <cell r="G14">
            <v>44751.06</v>
          </cell>
          <cell r="H14">
            <v>77700.800000000003</v>
          </cell>
          <cell r="I14">
            <v>67560.148344000001</v>
          </cell>
          <cell r="J14">
            <v>52550.792460999997</v>
          </cell>
          <cell r="K14">
            <v>65501.099445650005</v>
          </cell>
          <cell r="L14">
            <v>94194.583645818668</v>
          </cell>
          <cell r="M14">
            <v>102594.77227288127</v>
          </cell>
          <cell r="P14" t="str">
            <v>2.1.</v>
          </cell>
          <cell r="Q14" t="str">
            <v>Reservas de apropiación</v>
          </cell>
          <cell r="R14">
            <v>6.891687545862614E-2</v>
          </cell>
          <cell r="S14">
            <v>6.1760552956918097E-2</v>
          </cell>
          <cell r="T14">
            <v>9.2231337257582854E-2</v>
          </cell>
          <cell r="U14">
            <v>0.13504246268163533</v>
          </cell>
          <cell r="V14">
            <v>0.17824662485614076</v>
          </cell>
          <cell r="W14">
            <v>0.11874132080985193</v>
          </cell>
          <cell r="X14">
            <v>7.2576936346249551E-2</v>
          </cell>
          <cell r="Y14">
            <v>7.2834765727072079E-2</v>
          </cell>
          <cell r="Z14">
            <v>8.6419767078379922E-2</v>
          </cell>
          <cell r="AA14">
            <v>7.7233273642783026E-2</v>
          </cell>
          <cell r="AC14" t="str">
            <v>2.</v>
          </cell>
          <cell r="AD14" t="str">
            <v>GASTOS GENERALES</v>
          </cell>
          <cell r="AF14">
            <v>27666.849000000002</v>
          </cell>
          <cell r="AG14">
            <v>22628.664000000001</v>
          </cell>
          <cell r="AH14">
            <v>44793.157999999996</v>
          </cell>
          <cell r="AI14">
            <v>73177.638000000006</v>
          </cell>
          <cell r="AJ14">
            <v>97720.774000000005</v>
          </cell>
          <cell r="AK14">
            <v>149885.93530499999</v>
          </cell>
          <cell r="AL14">
            <v>179796.17984457</v>
          </cell>
          <cell r="AM14">
            <v>248487.74221783143</v>
          </cell>
          <cell r="AN14">
            <v>293499.8113729374</v>
          </cell>
          <cell r="AP14" t="str">
            <v>2.</v>
          </cell>
          <cell r="AQ14" t="str">
            <v>GASTOS GENERALES</v>
          </cell>
          <cell r="AS14">
            <v>0.18290075826188132</v>
          </cell>
          <cell r="AT14">
            <v>0.11186734982120436</v>
          </cell>
          <cell r="AU14">
            <v>0.17070061699025535</v>
          </cell>
          <cell r="AV14">
            <v>0.2208235614697221</v>
          </cell>
          <cell r="AW14">
            <v>0.22417270020166735</v>
          </cell>
          <cell r="AX14">
            <v>0.26343420441166515</v>
          </cell>
          <cell r="AY14">
            <v>0.24831320877915225</v>
          </cell>
          <cell r="AZ14">
            <v>0.27630904891149538</v>
          </cell>
          <cell r="BA14">
            <v>0.26927435054832494</v>
          </cell>
        </row>
        <row r="15">
          <cell r="B15" t="str">
            <v>2.2.</v>
          </cell>
          <cell r="C15" t="str">
            <v>Reservas de Tesorería</v>
          </cell>
          <cell r="D15">
            <v>7626.5989999999993</v>
          </cell>
          <cell r="E15">
            <v>17242</v>
          </cell>
          <cell r="F15">
            <v>10135.664000000001</v>
          </cell>
          <cell r="G15">
            <v>20590.944</v>
          </cell>
          <cell r="H15">
            <v>28426.578000000001</v>
          </cell>
          <cell r="I15">
            <v>20019.974000000002</v>
          </cell>
          <cell r="J15">
            <v>82325.786961000005</v>
          </cell>
          <cell r="K15">
            <v>127245.38738357001</v>
          </cell>
          <cell r="L15">
            <v>182986.6427721814</v>
          </cell>
          <cell r="M15">
            <v>199305.22772711873</v>
          </cell>
          <cell r="P15" t="str">
            <v>2.2.</v>
          </cell>
          <cell r="Q15" t="str">
            <v>Reservas de Tesorería</v>
          </cell>
          <cell r="R15">
            <v>5.0418128210382961E-2</v>
          </cell>
          <cell r="S15">
            <v>8.5237769477561981E-2</v>
          </cell>
          <cell r="T15">
            <v>3.8625633370299985E-2</v>
          </cell>
          <cell r="U15">
            <v>6.2135998269083316E-2</v>
          </cell>
          <cell r="V15">
            <v>6.5210931994391624E-2</v>
          </cell>
          <cell r="W15">
            <v>3.5186396323980441E-2</v>
          </cell>
          <cell r="X15">
            <v>0.11369863555069402</v>
          </cell>
          <cell r="Y15">
            <v>0.14149209797040049</v>
          </cell>
          <cell r="Z15">
            <v>0.16788293376068872</v>
          </cell>
          <cell r="AA15">
            <v>0.15003683765234652</v>
          </cell>
          <cell r="AD15" t="str">
            <v>2.1.</v>
          </cell>
          <cell r="AE15" t="str">
            <v>Reservas de apropiación</v>
          </cell>
          <cell r="AF15">
            <v>10424.849</v>
          </cell>
          <cell r="AG15">
            <v>12493</v>
          </cell>
          <cell r="AH15">
            <v>24202.214</v>
          </cell>
          <cell r="AI15">
            <v>44751.06</v>
          </cell>
          <cell r="AJ15">
            <v>77700.800000000003</v>
          </cell>
          <cell r="AK15">
            <v>67560.148344000001</v>
          </cell>
          <cell r="AL15">
            <v>52550.792460999997</v>
          </cell>
          <cell r="AM15">
            <v>65501.099445650005</v>
          </cell>
          <cell r="AN15">
            <v>94194.583645818668</v>
          </cell>
          <cell r="AQ15" t="str">
            <v>2.1.</v>
          </cell>
          <cell r="AR15" t="str">
            <v>Reservas de apropiación</v>
          </cell>
          <cell r="AS15">
            <v>6.891687545862614E-2</v>
          </cell>
          <cell r="AT15">
            <v>6.1760552956918097E-2</v>
          </cell>
          <cell r="AU15">
            <v>9.2231337257582854E-2</v>
          </cell>
          <cell r="AV15">
            <v>0.13504246268163533</v>
          </cell>
          <cell r="AW15">
            <v>0.17824662485614076</v>
          </cell>
          <cell r="AX15">
            <v>0.11874132080985193</v>
          </cell>
          <cell r="AY15">
            <v>7.2576936346249551E-2</v>
          </cell>
          <cell r="AZ15">
            <v>7.2834765727072079E-2</v>
          </cell>
          <cell r="BA15">
            <v>8.6419767078379922E-2</v>
          </cell>
        </row>
        <row r="16">
          <cell r="A16" t="str">
            <v>3.</v>
          </cell>
          <cell r="B16" t="str">
            <v>TRANSFERENCIAS</v>
          </cell>
          <cell r="D16">
            <v>103431.4</v>
          </cell>
          <cell r="E16">
            <v>97517</v>
          </cell>
          <cell r="F16">
            <v>122117.81</v>
          </cell>
          <cell r="G16">
            <v>84859.505000000005</v>
          </cell>
          <cell r="H16">
            <v>93231.876000000004</v>
          </cell>
          <cell r="I16">
            <v>314531.62445</v>
          </cell>
          <cell r="J16">
            <v>489008.30931300001</v>
          </cell>
          <cell r="K16">
            <v>621544.62370318</v>
          </cell>
          <cell r="L16">
            <v>1903173.0347280009</v>
          </cell>
          <cell r="M16">
            <v>1108800</v>
          </cell>
          <cell r="O16" t="str">
            <v>3.</v>
          </cell>
          <cell r="P16" t="str">
            <v>TRANSFERENCIAS</v>
          </cell>
          <cell r="R16">
            <v>0.68376711377894706</v>
          </cell>
          <cell r="S16">
            <v>0.48208627573039164</v>
          </cell>
          <cell r="T16">
            <v>0.46537432150907454</v>
          </cell>
          <cell r="U16">
            <v>0.25607519770804421</v>
          </cell>
          <cell r="V16">
            <v>0.21387511101566822</v>
          </cell>
          <cell r="W16">
            <v>0.55280962873993122</v>
          </cell>
          <cell r="X16">
            <v>0.67536041372041666</v>
          </cell>
          <cell r="Y16">
            <v>0.69113430827074029</v>
          </cell>
          <cell r="Z16">
            <v>1.7460852206691426</v>
          </cell>
          <cell r="AA16">
            <v>0.8347038734814165</v>
          </cell>
          <cell r="AD16" t="str">
            <v>2.2.</v>
          </cell>
          <cell r="AE16" t="str">
            <v>Reservas de Tesorería</v>
          </cell>
          <cell r="AF16">
            <v>7626.5989999999993</v>
          </cell>
          <cell r="AG16">
            <v>17242</v>
          </cell>
          <cell r="AH16">
            <v>10135.664000000001</v>
          </cell>
          <cell r="AI16">
            <v>20590.944</v>
          </cell>
          <cell r="AJ16">
            <v>28426.578000000001</v>
          </cell>
          <cell r="AK16">
            <v>20019.974000000002</v>
          </cell>
          <cell r="AL16">
            <v>82325.786961000005</v>
          </cell>
          <cell r="AM16">
            <v>127245.38738357001</v>
          </cell>
          <cell r="AN16">
            <v>182986.6427721814</v>
          </cell>
          <cell r="AQ16" t="str">
            <v>2.2.</v>
          </cell>
          <cell r="AR16" t="str">
            <v>Reservas de Tesorería</v>
          </cell>
          <cell r="AS16">
            <v>5.0418128210382961E-2</v>
          </cell>
          <cell r="AT16">
            <v>8.5237769477561981E-2</v>
          </cell>
          <cell r="AU16">
            <v>3.8625633370299985E-2</v>
          </cell>
          <cell r="AV16">
            <v>6.2135998269083316E-2</v>
          </cell>
          <cell r="AW16">
            <v>6.5210931994391624E-2</v>
          </cell>
          <cell r="AX16">
            <v>3.5186396323980441E-2</v>
          </cell>
          <cell r="AY16">
            <v>0.11369863555069402</v>
          </cell>
          <cell r="AZ16">
            <v>0.14149209797040049</v>
          </cell>
          <cell r="BA16">
            <v>0.16788293376068872</v>
          </cell>
        </row>
        <row r="17">
          <cell r="B17" t="str">
            <v>3.1.</v>
          </cell>
          <cell r="C17" t="str">
            <v>Reservas de apropiación</v>
          </cell>
          <cell r="D17">
            <v>27937.4</v>
          </cell>
          <cell r="E17">
            <v>67827</v>
          </cell>
          <cell r="F17">
            <v>44092.851999999999</v>
          </cell>
          <cell r="G17">
            <v>61973.756000000001</v>
          </cell>
          <cell r="H17">
            <v>25414.799999999999</v>
          </cell>
          <cell r="I17">
            <v>128370.81544999999</v>
          </cell>
          <cell r="J17">
            <v>142737.45243100001</v>
          </cell>
          <cell r="K17">
            <v>123754.56052803001</v>
          </cell>
          <cell r="L17">
            <v>855038.81017270719</v>
          </cell>
          <cell r="M17">
            <v>498150.72797886416</v>
          </cell>
          <cell r="P17" t="str">
            <v>3.1.</v>
          </cell>
          <cell r="Q17" t="str">
            <v>Reservas de apropiación</v>
          </cell>
          <cell r="R17">
            <v>0.18468932417513403</v>
          </cell>
          <cell r="S17">
            <v>0.3353104158655954</v>
          </cell>
          <cell r="T17">
            <v>0.16803184632036916</v>
          </cell>
          <cell r="U17">
            <v>0.18701431054081794</v>
          </cell>
          <cell r="V17">
            <v>5.8301874902109703E-2</v>
          </cell>
          <cell r="W17">
            <v>0.22561999275604708</v>
          </cell>
          <cell r="X17">
            <v>0.19713207953997386</v>
          </cell>
          <cell r="Y17">
            <v>0.13761042944317223</v>
          </cell>
          <cell r="Z17">
            <v>0.7844639464190738</v>
          </cell>
          <cell r="AA17">
            <v>0.37500752364857987</v>
          </cell>
          <cell r="AD17" t="str">
            <v>2.3.</v>
          </cell>
          <cell r="AE17" t="str">
            <v>Deuda Flotante</v>
          </cell>
          <cell r="AF17">
            <v>9615.4010000000017</v>
          </cell>
          <cell r="AG17">
            <v>-7106.3359999999993</v>
          </cell>
          <cell r="AH17">
            <v>10455.279999999999</v>
          </cell>
          <cell r="AI17">
            <v>7835.6340000000018</v>
          </cell>
          <cell r="AJ17">
            <v>-8406.6039999999994</v>
          </cell>
          <cell r="AK17">
            <v>62305.812961000003</v>
          </cell>
          <cell r="AL17">
            <v>44919.600422570002</v>
          </cell>
          <cell r="AM17">
            <v>55741.255388611389</v>
          </cell>
          <cell r="AN17">
            <v>16318.584954937338</v>
          </cell>
          <cell r="AQ17" t="str">
            <v>2.3.</v>
          </cell>
          <cell r="AR17" t="str">
            <v>Deuda Flotante</v>
          </cell>
          <cell r="AS17">
            <v>6.3565754592872212E-2</v>
          </cell>
          <cell r="AT17">
            <v>-3.5130972613275711E-2</v>
          </cell>
          <cell r="AU17">
            <v>3.9843646362372503E-2</v>
          </cell>
          <cell r="AV17">
            <v>2.3645100519003422E-2</v>
          </cell>
          <cell r="AW17">
            <v>-1.9284856648865034E-2</v>
          </cell>
          <cell r="AX17">
            <v>0.10950648727783278</v>
          </cell>
          <cell r="AY17">
            <v>6.2037636882208674E-2</v>
          </cell>
          <cell r="AZ17">
            <v>6.1982185214022795E-2</v>
          </cell>
          <cell r="BA17">
            <v>1.4971649709256303E-2</v>
          </cell>
        </row>
        <row r="18">
          <cell r="B18" t="str">
            <v>3.2.</v>
          </cell>
          <cell r="C18" t="str">
            <v>Reservas de Tesorería</v>
          </cell>
          <cell r="D18">
            <v>75494</v>
          </cell>
          <cell r="E18">
            <v>29690</v>
          </cell>
          <cell r="F18">
            <v>78024.957999999999</v>
          </cell>
          <cell r="G18">
            <v>22885.749</v>
          </cell>
          <cell r="H18">
            <v>67817.076000000001</v>
          </cell>
          <cell r="I18">
            <v>186160.80899999998</v>
          </cell>
          <cell r="J18">
            <v>346270.85688199999</v>
          </cell>
          <cell r="K18">
            <v>497790.06317515002</v>
          </cell>
          <cell r="L18">
            <v>1048134.2245552937</v>
          </cell>
          <cell r="M18">
            <v>610649.27202113578</v>
          </cell>
          <cell r="P18" t="str">
            <v>3.2.</v>
          </cell>
          <cell r="Q18" t="str">
            <v>Reservas de Tesorería</v>
          </cell>
          <cell r="R18">
            <v>0.4990777896038131</v>
          </cell>
          <cell r="S18">
            <v>0.14677585986479616</v>
          </cell>
          <cell r="T18">
            <v>0.29734247518870538</v>
          </cell>
          <cell r="U18">
            <v>6.906088716722629E-2</v>
          </cell>
          <cell r="V18">
            <v>0.1555732361135585</v>
          </cell>
          <cell r="W18">
            <v>0.32718963598388406</v>
          </cell>
          <cell r="X18">
            <v>0.47822833418044275</v>
          </cell>
          <cell r="Y18">
            <v>0.55352387882756815</v>
          </cell>
          <cell r="Z18">
            <v>0.96162127425006882</v>
          </cell>
          <cell r="AA18">
            <v>0.45969634983283664</v>
          </cell>
          <cell r="AC18" t="str">
            <v>3.</v>
          </cell>
          <cell r="AD18" t="str">
            <v>TRANSFERENCIAS</v>
          </cell>
          <cell r="AF18">
            <v>57627.399999999994</v>
          </cell>
          <cell r="AG18">
            <v>145851.95799999998</v>
          </cell>
          <cell r="AH18">
            <v>66978.600999999995</v>
          </cell>
          <cell r="AI18">
            <v>129790.83200000001</v>
          </cell>
          <cell r="AJ18">
            <v>211575.609</v>
          </cell>
          <cell r="AK18">
            <v>474641.67233199999</v>
          </cell>
          <cell r="AL18">
            <v>640527.51560615003</v>
          </cell>
          <cell r="AM18">
            <v>1171888.7850833237</v>
          </cell>
          <cell r="AN18">
            <v>1465688.0821938431</v>
          </cell>
          <cell r="AP18" t="str">
            <v>3.</v>
          </cell>
          <cell r="AQ18" t="str">
            <v>TRANSFERENCIAS</v>
          </cell>
          <cell r="AS18">
            <v>0.38096478412343732</v>
          </cell>
          <cell r="AT18">
            <v>0.72103558600249684</v>
          </cell>
          <cell r="AU18">
            <v>0.25524631498060779</v>
          </cell>
          <cell r="AV18">
            <v>0.3916616407919366</v>
          </cell>
          <cell r="AW18">
            <v>0.48535714183293505</v>
          </cell>
          <cell r="AX18">
            <v>0.83421337083407854</v>
          </cell>
          <cell r="AY18">
            <v>0.88462081257231517</v>
          </cell>
          <cell r="AZ18">
            <v>1.3030963730700473</v>
          </cell>
          <cell r="BA18">
            <v>1.3447102558361588</v>
          </cell>
        </row>
        <row r="19">
          <cell r="AD19" t="str">
            <v>3.1.</v>
          </cell>
          <cell r="AE19" t="str">
            <v>Reservas de apropiación</v>
          </cell>
          <cell r="AF19">
            <v>27937.4</v>
          </cell>
          <cell r="AG19">
            <v>67827</v>
          </cell>
          <cell r="AH19">
            <v>44092.851999999999</v>
          </cell>
          <cell r="AI19">
            <v>61973.756000000001</v>
          </cell>
          <cell r="AJ19">
            <v>25414.799999999999</v>
          </cell>
          <cell r="AK19">
            <v>128370.81544999999</v>
          </cell>
          <cell r="AL19">
            <v>142737.45243100001</v>
          </cell>
          <cell r="AM19">
            <v>123754.56052803001</v>
          </cell>
          <cell r="AN19">
            <v>855038.81017270719</v>
          </cell>
          <cell r="AQ19" t="str">
            <v>3.1.</v>
          </cell>
          <cell r="AR19" t="str">
            <v>Reservas de apropiación</v>
          </cell>
          <cell r="AS19">
            <v>0.18468932417513403</v>
          </cell>
          <cell r="AT19">
            <v>0.3353104158655954</v>
          </cell>
          <cell r="AU19">
            <v>0.16803184632036916</v>
          </cell>
          <cell r="AV19">
            <v>0.18701431054081794</v>
          </cell>
          <cell r="AW19">
            <v>5.8301874902109703E-2</v>
          </cell>
          <cell r="AX19">
            <v>0.22561999275604708</v>
          </cell>
          <cell r="AY19">
            <v>0.19713207953997386</v>
          </cell>
          <cell r="AZ19">
            <v>0.13761042944317223</v>
          </cell>
          <cell r="BA19">
            <v>0.7844639464190738</v>
          </cell>
        </row>
        <row r="20">
          <cell r="A20" t="str">
            <v>SERVICIO DE LA DEUDA</v>
          </cell>
          <cell r="D20">
            <v>20339.966999999997</v>
          </cell>
          <cell r="E20">
            <v>99006</v>
          </cell>
          <cell r="F20">
            <v>51792.843999999997</v>
          </cell>
          <cell r="G20">
            <v>21059.161</v>
          </cell>
          <cell r="H20">
            <v>105383.69999999998</v>
          </cell>
          <cell r="I20">
            <v>107294.68042999999</v>
          </cell>
          <cell r="J20">
            <v>39542.935270000002</v>
          </cell>
          <cell r="K20">
            <v>45751.769069000002</v>
          </cell>
          <cell r="L20">
            <v>975989.5398452573</v>
          </cell>
          <cell r="M20">
            <v>2032900</v>
          </cell>
          <cell r="O20" t="str">
            <v>SERVICIO DE LA DEUDA</v>
          </cell>
          <cell r="R20">
            <v>0.13446400735123984</v>
          </cell>
          <cell r="S20">
            <v>0.48944731498059985</v>
          </cell>
          <cell r="T20">
            <v>0.19737546583520738</v>
          </cell>
          <cell r="U20">
            <v>6.3548907298487473E-2</v>
          </cell>
          <cell r="V20">
            <v>0.24175155004648699</v>
          </cell>
          <cell r="W20">
            <v>0.18857732527848475</v>
          </cell>
          <cell r="X20">
            <v>5.4612023180516736E-2</v>
          </cell>
          <cell r="Y20">
            <v>5.0874251118559206E-2</v>
          </cell>
          <cell r="Z20">
            <v>0.89543140847150438</v>
          </cell>
          <cell r="AA20">
            <v>1.5303657146467999</v>
          </cell>
          <cell r="AD20" t="str">
            <v>1.3.</v>
          </cell>
          <cell r="AE20" t="str">
            <v>Reservas de Tesorería</v>
          </cell>
          <cell r="AF20">
            <v>75494</v>
          </cell>
          <cell r="AG20">
            <v>29690</v>
          </cell>
          <cell r="AH20">
            <v>78024.957999999999</v>
          </cell>
          <cell r="AI20">
            <v>22885.749</v>
          </cell>
          <cell r="AJ20">
            <v>67817.076000000001</v>
          </cell>
          <cell r="AK20">
            <v>186160.80899999998</v>
          </cell>
          <cell r="AL20">
            <v>346270.85688199999</v>
          </cell>
          <cell r="AM20">
            <v>497790.06317515002</v>
          </cell>
          <cell r="AN20">
            <v>1048134.2245552937</v>
          </cell>
          <cell r="AQ20" t="str">
            <v>1.3.</v>
          </cell>
          <cell r="AR20" t="str">
            <v>Reservas de Tesorería</v>
          </cell>
          <cell r="AS20">
            <v>0.4990777896038131</v>
          </cell>
          <cell r="AT20">
            <v>0.14677585986479616</v>
          </cell>
          <cell r="AU20">
            <v>0.29734247518870538</v>
          </cell>
          <cell r="AV20">
            <v>6.906088716722629E-2</v>
          </cell>
          <cell r="AW20">
            <v>0.1555732361135585</v>
          </cell>
          <cell r="AX20">
            <v>0.32718963598388406</v>
          </cell>
          <cell r="AY20">
            <v>0.47822833418044275</v>
          </cell>
          <cell r="AZ20">
            <v>0.55352387882756815</v>
          </cell>
          <cell r="BA20">
            <v>0.96162127425006882</v>
          </cell>
        </row>
        <row r="21">
          <cell r="A21" t="str">
            <v>1.</v>
          </cell>
          <cell r="B21" t="str">
            <v>INTERNA</v>
          </cell>
          <cell r="D21">
            <v>1630.654</v>
          </cell>
          <cell r="E21">
            <v>11912</v>
          </cell>
          <cell r="F21">
            <v>11182.146000000001</v>
          </cell>
          <cell r="G21">
            <v>10022.674000000001</v>
          </cell>
          <cell r="H21">
            <v>19952.599999999999</v>
          </cell>
          <cell r="I21">
            <v>88759.933999999994</v>
          </cell>
          <cell r="J21">
            <v>27901.854686999999</v>
          </cell>
          <cell r="K21">
            <v>3867.0590219999999</v>
          </cell>
          <cell r="L21">
            <v>569671.7354465964</v>
          </cell>
          <cell r="M21">
            <v>1849800</v>
          </cell>
          <cell r="O21" t="str">
            <v>1.</v>
          </cell>
          <cell r="P21" t="str">
            <v>INTERNA</v>
          </cell>
          <cell r="R21">
            <v>1.0779971837876073E-2</v>
          </cell>
          <cell r="S21">
            <v>5.8888314001665602E-2</v>
          </cell>
          <cell r="T21">
            <v>4.2613633570446542E-2</v>
          </cell>
          <cell r="U21">
            <v>3.024479374600729E-2</v>
          </cell>
          <cell r="V21">
            <v>4.5771518531400372E-2</v>
          </cell>
          <cell r="W21">
            <v>0.15600131226016306</v>
          </cell>
          <cell r="X21">
            <v>3.8534740138572762E-2</v>
          </cell>
          <cell r="Y21">
            <v>4.300024584378722E-3</v>
          </cell>
          <cell r="Z21">
            <v>0.52265105681176505</v>
          </cell>
          <cell r="AA21">
            <v>1.3925281612246794</v>
          </cell>
          <cell r="AD21" t="str">
            <v>3.3.</v>
          </cell>
          <cell r="AE21" t="str">
            <v>Deuda Flotante</v>
          </cell>
          <cell r="AF21">
            <v>-45804</v>
          </cell>
          <cell r="AG21">
            <v>48334.957999999999</v>
          </cell>
          <cell r="AH21">
            <v>-55139.209000000003</v>
          </cell>
          <cell r="AI21">
            <v>44931.327000000005</v>
          </cell>
          <cell r="AJ21">
            <v>118343.73299999998</v>
          </cell>
          <cell r="AK21">
            <v>160110.04788200001</v>
          </cell>
          <cell r="AL21">
            <v>151519.20629315003</v>
          </cell>
          <cell r="AM21">
            <v>550344.1613801436</v>
          </cell>
          <cell r="AN21">
            <v>-437484.9525341579</v>
          </cell>
          <cell r="AQ21" t="str">
            <v>3.3.</v>
          </cell>
          <cell r="AR21" t="str">
            <v>Deuda Flotante</v>
          </cell>
          <cell r="AS21">
            <v>-0.30280232965550979</v>
          </cell>
          <cell r="AT21">
            <v>0.23894931027210534</v>
          </cell>
          <cell r="AU21">
            <v>-0.21012800652846669</v>
          </cell>
          <cell r="AV21">
            <v>0.13558644308389245</v>
          </cell>
          <cell r="AW21">
            <v>0.27148203081726674</v>
          </cell>
          <cell r="AX21">
            <v>0.28140374209414742</v>
          </cell>
          <cell r="AY21">
            <v>0.20926039885189857</v>
          </cell>
          <cell r="AZ21">
            <v>0.61196206479930682</v>
          </cell>
          <cell r="BA21">
            <v>-0.40137496483298385</v>
          </cell>
        </row>
        <row r="22">
          <cell r="B22" t="str">
            <v>1.1.</v>
          </cell>
          <cell r="C22" t="str">
            <v>Reservas de apropiación</v>
          </cell>
          <cell r="D22">
            <v>0</v>
          </cell>
          <cell r="E22">
            <v>2300</v>
          </cell>
          <cell r="F22">
            <v>0</v>
          </cell>
          <cell r="G22">
            <v>0</v>
          </cell>
          <cell r="H22">
            <v>0</v>
          </cell>
          <cell r="I22">
            <v>0</v>
          </cell>
          <cell r="J22">
            <v>0</v>
          </cell>
          <cell r="K22">
            <v>200</v>
          </cell>
          <cell r="L22">
            <v>0</v>
          </cell>
          <cell r="M22">
            <v>0</v>
          </cell>
          <cell r="P22" t="str">
            <v>1.1.</v>
          </cell>
          <cell r="Q22" t="str">
            <v>Reservas de apropiación</v>
          </cell>
          <cell r="R22">
            <v>0</v>
          </cell>
          <cell r="S22">
            <v>1.137030911717855E-2</v>
          </cell>
          <cell r="T22">
            <v>0</v>
          </cell>
          <cell r="U22">
            <v>0</v>
          </cell>
          <cell r="V22">
            <v>0</v>
          </cell>
          <cell r="W22">
            <v>0</v>
          </cell>
          <cell r="X22">
            <v>0</v>
          </cell>
          <cell r="Y22">
            <v>2.2239249827403964E-4</v>
          </cell>
          <cell r="Z22">
            <v>0</v>
          </cell>
          <cell r="AA22">
            <v>0</v>
          </cell>
        </row>
        <row r="23">
          <cell r="B23" t="str">
            <v>1.2.</v>
          </cell>
          <cell r="C23" t="str">
            <v>Reservas de Tesorería</v>
          </cell>
          <cell r="D23">
            <v>1630.654</v>
          </cell>
          <cell r="E23">
            <v>9612</v>
          </cell>
          <cell r="F23">
            <v>11182.146000000001</v>
          </cell>
          <cell r="G23">
            <v>10022.674000000001</v>
          </cell>
          <cell r="H23">
            <v>19952.599999999999</v>
          </cell>
          <cell r="I23">
            <v>88759.933999999994</v>
          </cell>
          <cell r="J23">
            <v>27901.854686999999</v>
          </cell>
          <cell r="K23">
            <v>3667.0590219999999</v>
          </cell>
          <cell r="L23">
            <v>569671.7354465964</v>
          </cell>
          <cell r="M23">
            <v>1849800</v>
          </cell>
          <cell r="P23" t="str">
            <v>1.2.</v>
          </cell>
          <cell r="Q23" t="str">
            <v>Reservas de Tesorería</v>
          </cell>
          <cell r="R23">
            <v>1.0779971837876073E-2</v>
          </cell>
          <cell r="S23">
            <v>4.7518004884487056E-2</v>
          </cell>
          <cell r="T23">
            <v>4.2613633570446542E-2</v>
          </cell>
          <cell r="U23">
            <v>3.024479374600729E-2</v>
          </cell>
          <cell r="V23">
            <v>4.5771518531400372E-2</v>
          </cell>
          <cell r="W23">
            <v>0.15600131226016306</v>
          </cell>
          <cell r="X23">
            <v>3.8534740138572762E-2</v>
          </cell>
          <cell r="Y23">
            <v>4.0776320861046818E-3</v>
          </cell>
          <cell r="Z23">
            <v>0.52265105681176505</v>
          </cell>
          <cell r="AA23">
            <v>1.3925281612246794</v>
          </cell>
          <cell r="AC23" t="str">
            <v>SERVICIO DE LA DEUDA</v>
          </cell>
          <cell r="AF23">
            <v>95907</v>
          </cell>
          <cell r="AG23">
            <v>54891.843999999997</v>
          </cell>
          <cell r="AH23">
            <v>21059.161</v>
          </cell>
          <cell r="AI23">
            <v>105383.69999999998</v>
          </cell>
          <cell r="AJ23">
            <v>107294.68043000001</v>
          </cell>
          <cell r="AK23">
            <v>39542.935270000002</v>
          </cell>
          <cell r="AL23">
            <v>45291.669069000003</v>
          </cell>
          <cell r="AM23">
            <v>976449.63984525728</v>
          </cell>
          <cell r="AN23">
            <v>2032900</v>
          </cell>
          <cell r="AP23" t="str">
            <v>SERVICIO DE LA DEUDA</v>
          </cell>
          <cell r="AS23">
            <v>0.63402460549888606</v>
          </cell>
          <cell r="AT23">
            <v>0.27136401490954032</v>
          </cell>
          <cell r="AU23">
            <v>8.0253590872006009E-2</v>
          </cell>
          <cell r="AV23">
            <v>0.31800977171272937</v>
          </cell>
          <cell r="AW23">
            <v>0.24613536349259876</v>
          </cell>
          <cell r="AX23">
            <v>6.9499260699525611E-2</v>
          </cell>
          <cell r="AY23">
            <v>6.2551494070726354E-2</v>
          </cell>
          <cell r="AZ23">
            <v>1.085775374219865</v>
          </cell>
          <cell r="BA23">
            <v>1.8651045282414938</v>
          </cell>
        </row>
        <row r="24">
          <cell r="A24" t="str">
            <v>2.</v>
          </cell>
          <cell r="B24" t="str">
            <v>EXTERNA</v>
          </cell>
          <cell r="D24">
            <v>18709.312999999998</v>
          </cell>
          <cell r="E24">
            <v>87094</v>
          </cell>
          <cell r="F24">
            <v>40610.697999999997</v>
          </cell>
          <cell r="G24">
            <v>11036.486999999999</v>
          </cell>
          <cell r="H24">
            <v>85431.099999999991</v>
          </cell>
          <cell r="I24">
            <v>18534.746429999999</v>
          </cell>
          <cell r="J24">
            <v>11641.080583000001</v>
          </cell>
          <cell r="K24">
            <v>41884.710047</v>
          </cell>
          <cell r="L24">
            <v>406317.8043986609</v>
          </cell>
          <cell r="M24">
            <v>183100</v>
          </cell>
          <cell r="O24" t="str">
            <v>2.</v>
          </cell>
          <cell r="P24" t="str">
            <v>EXTERNA</v>
          </cell>
          <cell r="R24">
            <v>0.12368403551336377</v>
          </cell>
          <cell r="S24">
            <v>0.43055900097893418</v>
          </cell>
          <cell r="T24">
            <v>0.15476183226476081</v>
          </cell>
          <cell r="U24">
            <v>3.3304113552480176E-2</v>
          </cell>
          <cell r="V24">
            <v>0.19598003151508667</v>
          </cell>
          <cell r="W24">
            <v>3.2576013018321678E-2</v>
          </cell>
          <cell r="X24">
            <v>1.6077283041943974E-2</v>
          </cell>
          <cell r="Y24">
            <v>4.6574226534180488E-2</v>
          </cell>
          <cell r="Z24">
            <v>0.37278035165973927</v>
          </cell>
          <cell r="AA24">
            <v>0.13783755342212065</v>
          </cell>
          <cell r="AC24" t="str">
            <v>1.</v>
          </cell>
          <cell r="AD24" t="str">
            <v>INTERNA</v>
          </cell>
          <cell r="AF24">
            <v>9612</v>
          </cell>
          <cell r="AG24">
            <v>13482.146000000001</v>
          </cell>
          <cell r="AH24">
            <v>10022.674000000001</v>
          </cell>
          <cell r="AI24">
            <v>19952.599999999999</v>
          </cell>
          <cell r="AJ24">
            <v>88759.934000000008</v>
          </cell>
          <cell r="AK24">
            <v>27901.854686999999</v>
          </cell>
          <cell r="AL24">
            <v>3667.0590220000013</v>
          </cell>
          <cell r="AM24">
            <v>569871.7354465964</v>
          </cell>
          <cell r="AN24">
            <v>1849800</v>
          </cell>
          <cell r="AP24" t="str">
            <v>1.</v>
          </cell>
          <cell r="AQ24" t="str">
            <v>INTERNA</v>
          </cell>
          <cell r="AS24">
            <v>6.3543271169521437E-2</v>
          </cell>
          <cell r="AT24">
            <v>6.6650507644753193E-2</v>
          </cell>
          <cell r="AU24">
            <v>3.8195043888001622E-2</v>
          </cell>
          <cell r="AV24">
            <v>6.0209707678468345E-2</v>
          </cell>
          <cell r="AW24">
            <v>0.20361641910963355</v>
          </cell>
          <cell r="AX24">
            <v>4.9039310300347694E-2</v>
          </cell>
          <cell r="AY24">
            <v>5.0645080074701067E-3</v>
          </cell>
          <cell r="AZ24">
            <v>0.63367599470865577</v>
          </cell>
          <cell r="BA24">
            <v>1.6971175937533154</v>
          </cell>
        </row>
        <row r="25">
          <cell r="B25" t="str">
            <v>2.1.</v>
          </cell>
          <cell r="C25" t="str">
            <v>Reservas de apropiación</v>
          </cell>
          <cell r="D25">
            <v>0</v>
          </cell>
          <cell r="E25">
            <v>799</v>
          </cell>
          <cell r="F25">
            <v>0</v>
          </cell>
          <cell r="G25">
            <v>0</v>
          </cell>
          <cell r="H25">
            <v>0</v>
          </cell>
          <cell r="I25">
            <v>0</v>
          </cell>
          <cell r="J25">
            <v>0</v>
          </cell>
          <cell r="K25">
            <v>260.10000000000002</v>
          </cell>
          <cell r="L25">
            <v>0</v>
          </cell>
          <cell r="M25">
            <v>0</v>
          </cell>
          <cell r="P25" t="str">
            <v>2.1.</v>
          </cell>
          <cell r="Q25" t="str">
            <v>Reservas de apropiación</v>
          </cell>
          <cell r="R25">
            <v>0</v>
          </cell>
          <cell r="S25">
            <v>3.9499465150546354E-3</v>
          </cell>
          <cell r="T25">
            <v>0</v>
          </cell>
          <cell r="U25">
            <v>0</v>
          </cell>
          <cell r="V25">
            <v>0</v>
          </cell>
          <cell r="W25">
            <v>0</v>
          </cell>
          <cell r="X25">
            <v>0</v>
          </cell>
          <cell r="Y25">
            <v>2.8922144400538854E-4</v>
          </cell>
          <cell r="Z25">
            <v>0</v>
          </cell>
          <cell r="AA25">
            <v>0</v>
          </cell>
          <cell r="AD25" t="str">
            <v>1.1.</v>
          </cell>
          <cell r="AE25" t="str">
            <v>Reservas de apropiación</v>
          </cell>
          <cell r="AF25">
            <v>0</v>
          </cell>
          <cell r="AG25">
            <v>2300</v>
          </cell>
          <cell r="AH25">
            <v>0</v>
          </cell>
          <cell r="AI25">
            <v>0</v>
          </cell>
          <cell r="AJ25">
            <v>0</v>
          </cell>
          <cell r="AK25">
            <v>0</v>
          </cell>
          <cell r="AL25">
            <v>0</v>
          </cell>
          <cell r="AM25">
            <v>200</v>
          </cell>
          <cell r="AN25">
            <v>0</v>
          </cell>
          <cell r="AQ25" t="str">
            <v>1.1.</v>
          </cell>
          <cell r="AR25" t="str">
            <v>Reservas de apropiación</v>
          </cell>
          <cell r="AS25">
            <v>0</v>
          </cell>
          <cell r="AT25">
            <v>1.137030911717855E-2</v>
          </cell>
          <cell r="AU25">
            <v>0</v>
          </cell>
          <cell r="AV25">
            <v>0</v>
          </cell>
          <cell r="AW25">
            <v>0</v>
          </cell>
          <cell r="AX25">
            <v>0</v>
          </cell>
          <cell r="AY25">
            <v>0</v>
          </cell>
          <cell r="AZ25">
            <v>2.2239249827403964E-4</v>
          </cell>
          <cell r="BA25">
            <v>0</v>
          </cell>
        </row>
        <row r="26">
          <cell r="B26" t="str">
            <v>2.2.</v>
          </cell>
          <cell r="C26" t="str">
            <v>Reservas de Tesorería</v>
          </cell>
          <cell r="D26">
            <v>18709.312999999998</v>
          </cell>
          <cell r="E26">
            <v>86295</v>
          </cell>
          <cell r="F26">
            <v>40610.697999999997</v>
          </cell>
          <cell r="G26">
            <v>11036.486999999999</v>
          </cell>
          <cell r="H26">
            <v>85431.099999999991</v>
          </cell>
          <cell r="I26">
            <v>18534.746429999999</v>
          </cell>
          <cell r="J26">
            <v>11641.080583000001</v>
          </cell>
          <cell r="K26">
            <v>41624.610047000002</v>
          </cell>
          <cell r="L26">
            <v>406317.8043986609</v>
          </cell>
          <cell r="M26">
            <v>183100</v>
          </cell>
          <cell r="P26" t="str">
            <v>2.2.</v>
          </cell>
          <cell r="Q26" t="str">
            <v>Reservas de Tesorería</v>
          </cell>
          <cell r="R26">
            <v>0.12368403551336377</v>
          </cell>
          <cell r="S26">
            <v>0.42660905446387953</v>
          </cell>
          <cell r="T26">
            <v>0.15476183226476081</v>
          </cell>
          <cell r="U26">
            <v>3.3304113552480176E-2</v>
          </cell>
          <cell r="V26">
            <v>0.19598003151508667</v>
          </cell>
          <cell r="W26">
            <v>3.2576013018321678E-2</v>
          </cell>
          <cell r="X26">
            <v>1.6077283041943974E-2</v>
          </cell>
          <cell r="Y26">
            <v>4.6285005090175101E-2</v>
          </cell>
          <cell r="Z26">
            <v>0.37278035165973927</v>
          </cell>
          <cell r="AA26">
            <v>0.13783755342212065</v>
          </cell>
          <cell r="AD26" t="str">
            <v>1.2.</v>
          </cell>
          <cell r="AE26" t="str">
            <v>Reservas de Tesorería</v>
          </cell>
          <cell r="AF26">
            <v>1630.654</v>
          </cell>
          <cell r="AG26">
            <v>9612</v>
          </cell>
          <cell r="AH26">
            <v>11182.146000000001</v>
          </cell>
          <cell r="AI26">
            <v>10022.674000000001</v>
          </cell>
          <cell r="AJ26">
            <v>19952.599999999999</v>
          </cell>
          <cell r="AK26">
            <v>88759.933999999994</v>
          </cell>
          <cell r="AL26">
            <v>27901.854686999999</v>
          </cell>
          <cell r="AM26">
            <v>3667.0590219999999</v>
          </cell>
          <cell r="AN26">
            <v>569671.7354465964</v>
          </cell>
          <cell r="AQ26" t="str">
            <v>1.2.</v>
          </cell>
          <cell r="AR26" t="str">
            <v>Reservas de Tesorería</v>
          </cell>
          <cell r="AS26">
            <v>1.0779971837876073E-2</v>
          </cell>
          <cell r="AT26">
            <v>4.7518004884487056E-2</v>
          </cell>
          <cell r="AU26">
            <v>4.2613633570446542E-2</v>
          </cell>
          <cell r="AV26">
            <v>3.024479374600729E-2</v>
          </cell>
          <cell r="AW26">
            <v>4.5771518531400372E-2</v>
          </cell>
          <cell r="AX26">
            <v>0.15600131226016306</v>
          </cell>
          <cell r="AY26">
            <v>3.8534740138572762E-2</v>
          </cell>
          <cell r="AZ26">
            <v>4.0776320861046818E-3</v>
          </cell>
          <cell r="BA26">
            <v>0.52265105681176505</v>
          </cell>
        </row>
        <row r="27">
          <cell r="AD27" t="str">
            <v>1.3.</v>
          </cell>
          <cell r="AE27" t="str">
            <v>Deuda Flotante</v>
          </cell>
          <cell r="AF27">
            <v>7981.3459999999995</v>
          </cell>
          <cell r="AG27">
            <v>1570.1460000000006</v>
          </cell>
          <cell r="AH27">
            <v>-1159.4719999999998</v>
          </cell>
          <cell r="AI27">
            <v>9929.9259999999977</v>
          </cell>
          <cell r="AJ27">
            <v>68807.334000000003</v>
          </cell>
          <cell r="AK27">
            <v>-60858.079312999995</v>
          </cell>
          <cell r="AL27">
            <v>-24234.795664999998</v>
          </cell>
          <cell r="AM27">
            <v>566004.67642459646</v>
          </cell>
          <cell r="AN27">
            <v>1280128.2645534035</v>
          </cell>
          <cell r="AQ27" t="str">
            <v>1.3.</v>
          </cell>
          <cell r="AR27" t="str">
            <v>Deuda Flotante</v>
          </cell>
          <cell r="AS27">
            <v>5.2763299331645364E-2</v>
          </cell>
          <cell r="AT27">
            <v>7.762193643087582E-3</v>
          </cell>
          <cell r="AU27">
            <v>-4.418589682444924E-3</v>
          </cell>
          <cell r="AV27">
            <v>2.9964913932461049E-2</v>
          </cell>
          <cell r="AW27">
            <v>0.15784490057823317</v>
          </cell>
          <cell r="AX27">
            <v>-0.10696200195981539</v>
          </cell>
          <cell r="AY27">
            <v>-3.3470232131102652E-2</v>
          </cell>
          <cell r="AZ27">
            <v>0.62937597012427704</v>
          </cell>
          <cell r="BA27">
            <v>1.1744665369415503</v>
          </cell>
        </row>
        <row r="28">
          <cell r="A28" t="str">
            <v>INVERSION</v>
          </cell>
          <cell r="D28">
            <v>137568.79200000002</v>
          </cell>
          <cell r="E28">
            <v>187842</v>
          </cell>
          <cell r="F28">
            <v>210012.258</v>
          </cell>
          <cell r="G28">
            <v>371532.37</v>
          </cell>
          <cell r="H28">
            <v>424841.3</v>
          </cell>
          <cell r="I28">
            <v>592757.16755399993</v>
          </cell>
          <cell r="J28">
            <v>1123464.0737359999</v>
          </cell>
          <cell r="K28">
            <v>1892166.06969733</v>
          </cell>
          <cell r="L28">
            <v>2183040.4576521264</v>
          </cell>
          <cell r="M28">
            <v>1501600</v>
          </cell>
          <cell r="O28" t="str">
            <v>INVERSION</v>
          </cell>
          <cell r="R28">
            <v>0.90944351378688026</v>
          </cell>
          <cell r="S28">
            <v>0.92861808921263189</v>
          </cell>
          <cell r="T28">
            <v>0.80032807725047406</v>
          </cell>
          <cell r="U28">
            <v>1.1211498947900795</v>
          </cell>
          <cell r="V28">
            <v>0.97459135330003233</v>
          </cell>
          <cell r="W28">
            <v>1.0418089764469785</v>
          </cell>
          <cell r="X28">
            <v>1.551595642013355</v>
          </cell>
          <cell r="Y28">
            <v>2.1040176969467987</v>
          </cell>
          <cell r="Z28">
            <v>2.0028523994792482</v>
          </cell>
          <cell r="AA28">
            <v>1.1304034419369544</v>
          </cell>
          <cell r="AC28" t="str">
            <v>2.</v>
          </cell>
          <cell r="AD28" t="str">
            <v>EXTERNA</v>
          </cell>
          <cell r="AF28">
            <v>86295</v>
          </cell>
          <cell r="AG28">
            <v>41409.697999999997</v>
          </cell>
          <cell r="AH28">
            <v>11036.487000000001</v>
          </cell>
          <cell r="AI28">
            <v>85431.099999999991</v>
          </cell>
          <cell r="AJ28">
            <v>18534.746429999999</v>
          </cell>
          <cell r="AK28">
            <v>11641.080583000001</v>
          </cell>
          <cell r="AL28">
            <v>41624.610047000002</v>
          </cell>
          <cell r="AM28">
            <v>406577.90439866087</v>
          </cell>
          <cell r="AN28">
            <v>183100</v>
          </cell>
          <cell r="AP28" t="str">
            <v>2.</v>
          </cell>
          <cell r="AQ28" t="str">
            <v>EXTERNA</v>
          </cell>
          <cell r="AS28">
            <v>0.57048133432936465</v>
          </cell>
          <cell r="AT28">
            <v>0.2047135072647871</v>
          </cell>
          <cell r="AU28">
            <v>4.2058546984004401E-2</v>
          </cell>
          <cell r="AV28">
            <v>0.25780006403426103</v>
          </cell>
          <cell r="AW28">
            <v>4.2518944382965218E-2</v>
          </cell>
          <cell r="AX28">
            <v>2.0459950399177904E-2</v>
          </cell>
          <cell r="AY28">
            <v>5.7486986063256251E-2</v>
          </cell>
          <cell r="AZ28">
            <v>0.45209937951120915</v>
          </cell>
          <cell r="BA28">
            <v>0.1679869344881782</v>
          </cell>
        </row>
        <row r="29">
          <cell r="B29" t="str">
            <v>1.1.</v>
          </cell>
          <cell r="C29" t="str">
            <v>Reservas de apropiación</v>
          </cell>
          <cell r="D29">
            <v>44156.1</v>
          </cell>
          <cell r="E29">
            <v>131762</v>
          </cell>
          <cell r="F29">
            <v>153077.386</v>
          </cell>
          <cell r="G29">
            <v>263387.62400000001</v>
          </cell>
          <cell r="H29">
            <v>301579.3</v>
          </cell>
          <cell r="I29">
            <v>426682.572744</v>
          </cell>
          <cell r="J29">
            <v>544215.95600500004</v>
          </cell>
          <cell r="K29">
            <v>958608.97140806005</v>
          </cell>
          <cell r="L29">
            <v>1105971.7226547827</v>
          </cell>
          <cell r="M29">
            <v>760740.43104292452</v>
          </cell>
          <cell r="P29" t="str">
            <v>1.1.</v>
          </cell>
          <cell r="Q29" t="str">
            <v>Reservas de apropiación</v>
          </cell>
          <cell r="R29">
            <v>0.29190834749152161</v>
          </cell>
          <cell r="S29">
            <v>0.65138029125986086</v>
          </cell>
          <cell r="T29">
            <v>0.58335704389173626</v>
          </cell>
          <cell r="U29">
            <v>0.79480828800087888</v>
          </cell>
          <cell r="V29">
            <v>0.69182675534199811</v>
          </cell>
          <cell r="W29">
            <v>0.74992215819590957</v>
          </cell>
          <cell r="X29">
            <v>0.75160668275175668</v>
          </cell>
          <cell r="Y29">
            <v>1.0659372200967294</v>
          </cell>
          <cell r="Z29">
            <v>1.0146848679376657</v>
          </cell>
          <cell r="AA29">
            <v>0.5726848705857247</v>
          </cell>
          <cell r="AD29" t="str">
            <v>2.1.</v>
          </cell>
          <cell r="AE29" t="str">
            <v>Reservas de apropiación</v>
          </cell>
          <cell r="AF29">
            <v>0</v>
          </cell>
          <cell r="AG29">
            <v>799</v>
          </cell>
          <cell r="AH29">
            <v>0</v>
          </cell>
          <cell r="AI29">
            <v>0</v>
          </cell>
          <cell r="AJ29">
            <v>0</v>
          </cell>
          <cell r="AK29">
            <v>0</v>
          </cell>
          <cell r="AL29">
            <v>0</v>
          </cell>
          <cell r="AM29">
            <v>260.10000000000002</v>
          </cell>
          <cell r="AN29">
            <v>0</v>
          </cell>
          <cell r="AQ29" t="str">
            <v>2.1.</v>
          </cell>
          <cell r="AR29" t="str">
            <v>Reservas de apropiación</v>
          </cell>
          <cell r="AS29">
            <v>0</v>
          </cell>
          <cell r="AT29">
            <v>3.9499465150546354E-3</v>
          </cell>
          <cell r="AU29">
            <v>0</v>
          </cell>
          <cell r="AV29">
            <v>0</v>
          </cell>
          <cell r="AW29">
            <v>0</v>
          </cell>
          <cell r="AX29">
            <v>0</v>
          </cell>
          <cell r="AY29">
            <v>0</v>
          </cell>
          <cell r="AZ29">
            <v>2.8922144400538854E-4</v>
          </cell>
          <cell r="BA29">
            <v>0</v>
          </cell>
        </row>
        <row r="30">
          <cell r="B30" t="str">
            <v>1.2.</v>
          </cell>
          <cell r="C30" t="str">
            <v>Reservas de Tesorería</v>
          </cell>
          <cell r="D30">
            <v>93412.69200000001</v>
          </cell>
          <cell r="E30">
            <v>56080</v>
          </cell>
          <cell r="F30">
            <v>56934.872000000003</v>
          </cell>
          <cell r="G30">
            <v>108144.746</v>
          </cell>
          <cell r="H30">
            <v>123262</v>
          </cell>
          <cell r="I30">
            <v>166074.59480999998</v>
          </cell>
          <cell r="J30">
            <v>579248.11773099995</v>
          </cell>
          <cell r="K30">
            <v>933557.09828926995</v>
          </cell>
          <cell r="L30">
            <v>1077068.7349973437</v>
          </cell>
          <cell r="M30">
            <v>740859.56895707548</v>
          </cell>
          <cell r="P30" t="str">
            <v>1.2.</v>
          </cell>
          <cell r="Q30" t="str">
            <v>Reservas de Tesorería</v>
          </cell>
          <cell r="R30">
            <v>0.61753516629535865</v>
          </cell>
          <cell r="S30">
            <v>0.27723779795277087</v>
          </cell>
          <cell r="T30">
            <v>0.21697103335873782</v>
          </cell>
          <cell r="U30">
            <v>0.32634160678920082</v>
          </cell>
          <cell r="V30">
            <v>0.28276459795803421</v>
          </cell>
          <cell r="W30">
            <v>0.29188681825106888</v>
          </cell>
          <cell r="X30">
            <v>0.79998895926159852</v>
          </cell>
          <cell r="Y30">
            <v>1.0380804768500695</v>
          </cell>
          <cell r="Z30">
            <v>0.98816753154158254</v>
          </cell>
          <cell r="AA30">
            <v>0.55771857135122971</v>
          </cell>
          <cell r="AD30" t="str">
            <v>2.2.</v>
          </cell>
          <cell r="AE30" t="str">
            <v>Reservas de Tesorería</v>
          </cell>
          <cell r="AF30">
            <v>18709.312999999998</v>
          </cell>
          <cell r="AG30">
            <v>86295</v>
          </cell>
          <cell r="AH30">
            <v>40610.697999999997</v>
          </cell>
          <cell r="AI30">
            <v>11036.486999999999</v>
          </cell>
          <cell r="AJ30">
            <v>85431.099999999991</v>
          </cell>
          <cell r="AK30">
            <v>18534.746429999999</v>
          </cell>
          <cell r="AL30">
            <v>11641.080583000001</v>
          </cell>
          <cell r="AM30">
            <v>41624.610047000002</v>
          </cell>
          <cell r="AN30">
            <v>406317.8043986609</v>
          </cell>
          <cell r="AQ30" t="str">
            <v>2.2.</v>
          </cell>
          <cell r="AR30" t="str">
            <v>Reservas de Tesorería</v>
          </cell>
          <cell r="AS30">
            <v>0.12368403551336377</v>
          </cell>
          <cell r="AT30">
            <v>0.42660905446387953</v>
          </cell>
          <cell r="AU30">
            <v>0.15476183226476081</v>
          </cell>
          <cell r="AV30">
            <v>3.3304113552480176E-2</v>
          </cell>
          <cell r="AW30">
            <v>0.19598003151508667</v>
          </cell>
          <cell r="AX30">
            <v>3.2576013018321678E-2</v>
          </cell>
          <cell r="AY30">
            <v>1.6077283041943974E-2</v>
          </cell>
          <cell r="AZ30">
            <v>4.6285005090175101E-2</v>
          </cell>
          <cell r="BA30">
            <v>0.37278035165973927</v>
          </cell>
        </row>
        <row r="31">
          <cell r="AD31" t="str">
            <v>2.3.</v>
          </cell>
          <cell r="AE31" t="str">
            <v>Deuda Flotante</v>
          </cell>
          <cell r="AF31">
            <v>67585.687000000005</v>
          </cell>
          <cell r="AG31">
            <v>-45684.302000000003</v>
          </cell>
          <cell r="AH31">
            <v>-29574.210999999996</v>
          </cell>
          <cell r="AI31">
            <v>74394.612999999998</v>
          </cell>
          <cell r="AJ31">
            <v>-66896.353569999992</v>
          </cell>
          <cell r="AK31">
            <v>-6893.6658469999984</v>
          </cell>
          <cell r="AL31">
            <v>29983.529463999999</v>
          </cell>
          <cell r="AM31">
            <v>364693.1943516609</v>
          </cell>
          <cell r="AN31">
            <v>-223217.8043986609</v>
          </cell>
          <cell r="AQ31" t="str">
            <v>2.3.</v>
          </cell>
          <cell r="AR31" t="str">
            <v>Deuda Flotante</v>
          </cell>
          <cell r="AS31">
            <v>0.44679729881600083</v>
          </cell>
          <cell r="AT31">
            <v>-0.22584549371414708</v>
          </cell>
          <cell r="AU31">
            <v>-0.11270328528075639</v>
          </cell>
          <cell r="AV31">
            <v>0.22449595048178086</v>
          </cell>
          <cell r="AW31">
            <v>-0.15346108713212142</v>
          </cell>
          <cell r="AX31">
            <v>-1.2116062619143773E-2</v>
          </cell>
          <cell r="AY31">
            <v>4.140970302131227E-2</v>
          </cell>
          <cell r="AZ31">
            <v>0.40552515297702868</v>
          </cell>
          <cell r="BA31">
            <v>-0.20479341717156105</v>
          </cell>
        </row>
        <row r="32">
          <cell r="A32" t="str">
            <v>TOTAL</v>
          </cell>
          <cell r="D32">
            <v>402318.67799999996</v>
          </cell>
          <cell r="E32">
            <v>538743</v>
          </cell>
          <cell r="F32">
            <v>546897.84499999997</v>
          </cell>
          <cell r="G32">
            <v>673192.03099999996</v>
          </cell>
          <cell r="H32">
            <v>863914.95399999991</v>
          </cell>
          <cell r="I32">
            <v>1236696.7607779999</v>
          </cell>
          <cell r="J32">
            <v>1925449.7513849998</v>
          </cell>
          <cell r="K32">
            <v>2893753.0460361</v>
          </cell>
          <cell r="L32">
            <v>5565570.6796023836</v>
          </cell>
          <cell r="M32">
            <v>5020400</v>
          </cell>
          <cell r="O32" t="str">
            <v>TOTAL</v>
          </cell>
          <cell r="R32">
            <v>2.6596592647437971</v>
          </cell>
          <cell r="S32">
            <v>2.6633367150939669</v>
          </cell>
          <cell r="T32">
            <v>2.0841531104402384</v>
          </cell>
          <cell r="U32">
            <v>2.0314493047514808</v>
          </cell>
          <cell r="V32">
            <v>1.9818319079500866</v>
          </cell>
          <cell r="W32">
            <v>2.1735743691434131</v>
          </cell>
          <cell r="X32">
            <v>2.6592033630678373</v>
          </cell>
          <cell r="Y32">
            <v>3.217744846480401</v>
          </cell>
          <cell r="Z32">
            <v>5.106188733717592</v>
          </cell>
          <cell r="AA32">
            <v>3.7793536493741917</v>
          </cell>
        </row>
        <row r="33">
          <cell r="C33" t="str">
            <v>Reservas de apropiación</v>
          </cell>
          <cell r="D33">
            <v>83376.41399999999</v>
          </cell>
          <cell r="E33">
            <v>216155</v>
          </cell>
          <cell r="F33">
            <v>221817.58899999998</v>
          </cell>
          <cell r="G33">
            <v>374226.598</v>
          </cell>
          <cell r="H33">
            <v>409219.1</v>
          </cell>
          <cell r="I33">
            <v>630987.60453799996</v>
          </cell>
          <cell r="J33">
            <v>744073.92789699999</v>
          </cell>
          <cell r="K33">
            <v>1154768.3710225602</v>
          </cell>
          <cell r="L33">
            <v>2065027.499342344</v>
          </cell>
          <cell r="M33">
            <v>1368487.3933548322</v>
          </cell>
          <cell r="Q33" t="str">
            <v>Reservas de apropiación</v>
          </cell>
          <cell r="R33">
            <v>0.55118706657764083</v>
          </cell>
          <cell r="S33">
            <v>1.0685865944450998</v>
          </cell>
          <cell r="T33">
            <v>0.84531658387628927</v>
          </cell>
          <cell r="U33">
            <v>1.1292800973851873</v>
          </cell>
          <cell r="V33">
            <v>0.9387538275238807</v>
          </cell>
          <cell r="W33">
            <v>1.109001436704818</v>
          </cell>
          <cell r="X33">
            <v>1.0276268648462701</v>
          </cell>
          <cell r="Y33">
            <v>1.2840591147977511</v>
          </cell>
          <cell r="Z33">
            <v>1.8945802252774924</v>
          </cell>
          <cell r="AA33">
            <v>1.0301963636758344</v>
          </cell>
          <cell r="AC33" t="str">
            <v>INVERSION</v>
          </cell>
          <cell r="AF33">
            <v>100236.1</v>
          </cell>
          <cell r="AG33">
            <v>188696.872</v>
          </cell>
          <cell r="AH33">
            <v>261222.13199999998</v>
          </cell>
          <cell r="AI33">
            <v>386649.62400000001</v>
          </cell>
          <cell r="AJ33">
            <v>467653.89480999997</v>
          </cell>
          <cell r="AK33">
            <v>1005930.6904749998</v>
          </cell>
          <cell r="AL33">
            <v>1477773.05429427</v>
          </cell>
          <cell r="AM33">
            <v>2035677.7064054038</v>
          </cell>
          <cell r="AN33">
            <v>1846831.2916118582</v>
          </cell>
          <cell r="AP33" t="str">
            <v>INVERSION</v>
          </cell>
          <cell r="AS33">
            <v>0.66264353758585814</v>
          </cell>
          <cell r="AT33">
            <v>0.93284424525420606</v>
          </cell>
          <cell r="AU33">
            <v>0.99548192391145829</v>
          </cell>
          <cell r="AV33">
            <v>1.1667682825812022</v>
          </cell>
          <cell r="AW33">
            <v>1.0728039910877518</v>
          </cell>
          <cell r="AX33">
            <v>1.7679881077522199</v>
          </cell>
          <cell r="AY33">
            <v>2.0409252814848435</v>
          </cell>
          <cell r="AZ33">
            <v>2.2635972540413234</v>
          </cell>
          <cell r="BA33">
            <v>1.694393922417907</v>
          </cell>
        </row>
        <row r="34">
          <cell r="C34" t="str">
            <v>Reservas de Tesorería</v>
          </cell>
          <cell r="D34">
            <v>198262.264</v>
          </cell>
          <cell r="E34">
            <v>201907</v>
          </cell>
          <cell r="F34">
            <v>204398.25600000002</v>
          </cell>
          <cell r="G34">
            <v>178282.43299999999</v>
          </cell>
          <cell r="H34">
            <v>334011.85399999999</v>
          </cell>
          <cell r="I34">
            <v>485024.15623999998</v>
          </cell>
          <cell r="J34">
            <v>1060689.8234879998</v>
          </cell>
          <cell r="K34">
            <v>1618297.6750135398</v>
          </cell>
          <cell r="L34">
            <v>3379855.1802600399</v>
          </cell>
          <cell r="M34">
            <v>3651912.6066451678</v>
          </cell>
          <cell r="Q34" t="str">
            <v>Reservas de Tesorería</v>
          </cell>
          <cell r="R34">
            <v>1.3106775701243496</v>
          </cell>
          <cell r="S34">
            <v>0.99815000127050846</v>
          </cell>
          <cell r="T34">
            <v>0.7789338811729275</v>
          </cell>
          <cell r="U34">
            <v>0.53799169908363409</v>
          </cell>
          <cell r="V34">
            <v>0.7662274473035291</v>
          </cell>
          <cell r="W34">
            <v>0.85246125635152425</v>
          </cell>
          <cell r="X34">
            <v>1.4648992754873165</v>
          </cell>
          <cell r="Y34">
            <v>1.7994863144866549</v>
          </cell>
          <cell r="Z34">
            <v>3.1008820903652272</v>
          </cell>
          <cell r="AA34">
            <v>2.7491572856983568</v>
          </cell>
          <cell r="AD34" t="str">
            <v>1.1.</v>
          </cell>
          <cell r="AE34" t="str">
            <v>Reservas de apropiación</v>
          </cell>
          <cell r="AF34">
            <v>44156.1</v>
          </cell>
          <cell r="AG34">
            <v>131762</v>
          </cell>
          <cell r="AH34">
            <v>153077.386</v>
          </cell>
          <cell r="AI34">
            <v>263387.62400000001</v>
          </cell>
          <cell r="AJ34">
            <v>301579.3</v>
          </cell>
          <cell r="AK34">
            <v>426682.572744</v>
          </cell>
          <cell r="AL34">
            <v>544215.95600500004</v>
          </cell>
          <cell r="AM34">
            <v>958608.97140806005</v>
          </cell>
          <cell r="AN34">
            <v>1105971.7226547827</v>
          </cell>
          <cell r="AQ34" t="str">
            <v>1.1.</v>
          </cell>
          <cell r="AR34" t="str">
            <v>Reservas de apropiación</v>
          </cell>
          <cell r="AS34">
            <v>0.29190834749152161</v>
          </cell>
          <cell r="AT34">
            <v>0.65138029125986086</v>
          </cell>
          <cell r="AU34">
            <v>0.58335704389173626</v>
          </cell>
          <cell r="AV34">
            <v>0.79480828800087888</v>
          </cell>
          <cell r="AW34">
            <v>0.69182675534199811</v>
          </cell>
          <cell r="AX34">
            <v>0.74992215819590957</v>
          </cell>
          <cell r="AY34">
            <v>0.75160668275175668</v>
          </cell>
          <cell r="AZ34">
            <v>1.0659372200967294</v>
          </cell>
          <cell r="BA34">
            <v>1.0146848679376657</v>
          </cell>
        </row>
        <row r="35">
          <cell r="C35" t="str">
            <v>Otros</v>
          </cell>
          <cell r="D35">
            <v>120680</v>
          </cell>
          <cell r="E35">
            <v>120681</v>
          </cell>
          <cell r="F35">
            <v>120682</v>
          </cell>
          <cell r="G35">
            <v>120683</v>
          </cell>
          <cell r="H35">
            <v>120684</v>
          </cell>
          <cell r="I35">
            <v>120685</v>
          </cell>
          <cell r="J35">
            <v>120686</v>
          </cell>
          <cell r="K35">
            <v>120687</v>
          </cell>
          <cell r="L35">
            <v>120688</v>
          </cell>
          <cell r="M35">
            <v>0</v>
          </cell>
          <cell r="Q35" t="str">
            <v>Otros</v>
          </cell>
          <cell r="R35">
            <v>0.7977946280418069</v>
          </cell>
          <cell r="S35">
            <v>0.59660011937835855</v>
          </cell>
          <cell r="T35">
            <v>0.45990264539102149</v>
          </cell>
          <cell r="U35">
            <v>0.36417750828265966</v>
          </cell>
          <cell r="V35">
            <v>0.27685063312267688</v>
          </cell>
          <cell r="W35">
            <v>0.21211167608707082</v>
          </cell>
          <cell r="X35">
            <v>0.16667722273425059</v>
          </cell>
          <cell r="Y35">
            <v>0.1341994171959951</v>
          </cell>
          <cell r="Z35">
            <v>0.11072641807487305</v>
          </cell>
          <cell r="AA35">
            <v>0</v>
          </cell>
          <cell r="AD35" t="str">
            <v>1.2.</v>
          </cell>
          <cell r="AE35" t="str">
            <v>Reservas de Tesorería</v>
          </cell>
          <cell r="AF35">
            <v>93412.69200000001</v>
          </cell>
          <cell r="AG35">
            <v>56080</v>
          </cell>
          <cell r="AH35">
            <v>56934.872000000003</v>
          </cell>
          <cell r="AI35">
            <v>108144.746</v>
          </cell>
          <cell r="AJ35">
            <v>123262</v>
          </cell>
          <cell r="AK35">
            <v>166074.59480999998</v>
          </cell>
          <cell r="AL35">
            <v>579248.11773099995</v>
          </cell>
          <cell r="AM35">
            <v>933557.09828926995</v>
          </cell>
          <cell r="AN35">
            <v>1077068.7349973437</v>
          </cell>
          <cell r="AQ35" t="str">
            <v>1.2.</v>
          </cell>
          <cell r="AR35" t="str">
            <v>Reservas de Tesorería</v>
          </cell>
          <cell r="AS35">
            <v>0.61753516629535865</v>
          </cell>
          <cell r="AT35">
            <v>0.27723779795277087</v>
          </cell>
          <cell r="AU35">
            <v>0.21697103335873782</v>
          </cell>
          <cell r="AV35">
            <v>0.32634160678920082</v>
          </cell>
          <cell r="AW35">
            <v>0.28276459795803421</v>
          </cell>
          <cell r="AX35">
            <v>0.29188681825106888</v>
          </cell>
          <cell r="AY35">
            <v>0.79998895926159852</v>
          </cell>
          <cell r="AZ35">
            <v>1.0380804768500695</v>
          </cell>
          <cell r="BA35">
            <v>0.98816753154158254</v>
          </cell>
        </row>
        <row r="36">
          <cell r="AD36" t="str">
            <v>1.3.</v>
          </cell>
          <cell r="AE36" t="str">
            <v>Deuda Flotante</v>
          </cell>
          <cell r="AF36">
            <v>-37332.69200000001</v>
          </cell>
          <cell r="AG36">
            <v>854.87200000000303</v>
          </cell>
          <cell r="AH36">
            <v>51209.873999999996</v>
          </cell>
          <cell r="AI36">
            <v>15117.254000000001</v>
          </cell>
          <cell r="AJ36">
            <v>42812.59480999998</v>
          </cell>
          <cell r="AK36">
            <v>413173.52292099997</v>
          </cell>
          <cell r="AL36">
            <v>354308.98055827001</v>
          </cell>
          <cell r="AM36">
            <v>143511.63670807378</v>
          </cell>
          <cell r="AN36">
            <v>-336209.16604026826</v>
          </cell>
          <cell r="AQ36" t="str">
            <v>1.3.</v>
          </cell>
          <cell r="AR36" t="str">
            <v>Deuda Flotante</v>
          </cell>
          <cell r="AS36">
            <v>-0.24679997620102212</v>
          </cell>
          <cell r="AT36">
            <v>4.2261560415742154E-3</v>
          </cell>
          <cell r="AU36">
            <v>0.19515384666098415</v>
          </cell>
          <cell r="AV36">
            <v>4.5618387791122782E-2</v>
          </cell>
          <cell r="AW36">
            <v>9.8212637787719381E-2</v>
          </cell>
          <cell r="AX36">
            <v>0.72617913130524148</v>
          </cell>
          <cell r="AY36">
            <v>0.48932963947148822</v>
          </cell>
          <cell r="AZ36">
            <v>0.15957955709452451</v>
          </cell>
          <cell r="BA36">
            <v>-0.30845847706134122</v>
          </cell>
        </row>
        <row r="37">
          <cell r="A37" t="str">
            <v>P = Proyectado</v>
          </cell>
          <cell r="E37" t="str">
            <v>C:\CARLOSJ\PRES9194\PAGOS.XLS</v>
          </cell>
          <cell r="I37" t="str">
            <v>Rango REZ3</v>
          </cell>
          <cell r="O37" t="str">
            <v xml:space="preserve"> PIB DEL AÑO ANTERIOR</v>
          </cell>
          <cell r="R37">
            <v>15126700</v>
          </cell>
          <cell r="S37">
            <v>20228122</v>
          </cell>
          <cell r="T37">
            <v>26240771</v>
          </cell>
          <cell r="U37">
            <v>33138510</v>
          </cell>
          <cell r="V37">
            <v>43591737.045630313</v>
          </cell>
          <cell r="W37">
            <v>56896914.977212004</v>
          </cell>
          <cell r="X37">
            <v>72407014</v>
          </cell>
          <cell r="Y37">
            <v>89931091</v>
          </cell>
          <cell r="Z37">
            <v>108996572</v>
          </cell>
          <cell r="AA37">
            <v>132837529</v>
          </cell>
        </row>
        <row r="38">
          <cell r="P38" t="str">
            <v>C:\CARLOSJ\PRES9194\PAGOS.XLS</v>
          </cell>
          <cell r="W38" t="str">
            <v>Rango REZ4</v>
          </cell>
          <cell r="AC38" t="str">
            <v>TOTAL</v>
          </cell>
          <cell r="AF38">
            <v>285283.41399999993</v>
          </cell>
          <cell r="AG38">
            <v>420553.25599999999</v>
          </cell>
          <cell r="AH38">
            <v>400100.022</v>
          </cell>
          <cell r="AI38">
            <v>708238.45200000005</v>
          </cell>
          <cell r="AJ38">
            <v>894243.2562399999</v>
          </cell>
          <cell r="AK38">
            <v>1691677.4280259998</v>
          </cell>
          <cell r="AL38">
            <v>2362371.6029105401</v>
          </cell>
          <cell r="AM38">
            <v>4534623.5512825996</v>
          </cell>
          <cell r="AN38">
            <v>5716940.1059875116</v>
          </cell>
          <cell r="AP38" t="str">
            <v>TOTAL</v>
          </cell>
          <cell r="AS38">
            <v>1.8859593566342951</v>
          </cell>
          <cell r="AT38">
            <v>2.0790524004156192</v>
          </cell>
          <cell r="AU38">
            <v>1.5247266248388813</v>
          </cell>
          <cell r="AV38">
            <v>2.1372066879289382</v>
          </cell>
          <cell r="AW38">
            <v>2.051405419572836</v>
          </cell>
          <cell r="AX38">
            <v>2.973232254689977</v>
          </cell>
          <cell r="AY38">
            <v>3.2626281245495639</v>
          </cell>
          <cell r="AZ38">
            <v>5.0423313015101741</v>
          </cell>
          <cell r="BA38">
            <v>5.2450641346660989</v>
          </cell>
        </row>
        <row r="39">
          <cell r="AE39" t="str">
            <v>Reservas de apropiación</v>
          </cell>
          <cell r="AF39">
            <v>83376.41399999999</v>
          </cell>
          <cell r="AG39">
            <v>216155</v>
          </cell>
          <cell r="AH39">
            <v>221817.58899999998</v>
          </cell>
          <cell r="AI39">
            <v>374226.598</v>
          </cell>
          <cell r="AJ39">
            <v>409219.1</v>
          </cell>
          <cell r="AK39">
            <v>630987.60453799996</v>
          </cell>
          <cell r="AL39">
            <v>744073.92789699999</v>
          </cell>
          <cell r="AM39">
            <v>1154768.3710225602</v>
          </cell>
          <cell r="AN39">
            <v>2065027.499342344</v>
          </cell>
          <cell r="AR39" t="str">
            <v>Reservas de apropiación</v>
          </cell>
          <cell r="AS39">
            <v>0.55118706657764083</v>
          </cell>
          <cell r="AT39">
            <v>1.0685865944450998</v>
          </cell>
          <cell r="AU39">
            <v>0.84531658387628927</v>
          </cell>
          <cell r="AV39">
            <v>1.1292800973851873</v>
          </cell>
          <cell r="AW39">
            <v>0.9387538275238807</v>
          </cell>
          <cell r="AX39">
            <v>1.109001436704818</v>
          </cell>
          <cell r="AY39">
            <v>1.0276268648462701</v>
          </cell>
          <cell r="AZ39">
            <v>1.2840591147977511</v>
          </cell>
          <cell r="BA39">
            <v>1.8945802252774924</v>
          </cell>
        </row>
        <row r="40">
          <cell r="AE40" t="str">
            <v>Reservas de Tesorería</v>
          </cell>
          <cell r="AF40">
            <v>198262.264</v>
          </cell>
          <cell r="AG40">
            <v>201907</v>
          </cell>
          <cell r="AH40">
            <v>204398.25600000002</v>
          </cell>
          <cell r="AI40">
            <v>178282.43299999999</v>
          </cell>
          <cell r="AJ40">
            <v>334011.85399999999</v>
          </cell>
          <cell r="AK40">
            <v>485024.15623999998</v>
          </cell>
          <cell r="AL40">
            <v>1060689.8234879998</v>
          </cell>
          <cell r="AM40">
            <v>1618297.6750135398</v>
          </cell>
          <cell r="AN40">
            <v>3379855.1802600399</v>
          </cell>
          <cell r="AR40" t="str">
            <v>Reservas de Tesorería</v>
          </cell>
          <cell r="AS40">
            <v>1.3106775701243496</v>
          </cell>
          <cell r="AT40">
            <v>0.99815000127050846</v>
          </cell>
          <cell r="AU40">
            <v>0.7789338811729275</v>
          </cell>
          <cell r="AV40">
            <v>0.53799169908363409</v>
          </cell>
          <cell r="AW40">
            <v>0.7662274473035291</v>
          </cell>
          <cell r="AX40">
            <v>0.85246125635152425</v>
          </cell>
          <cell r="AY40">
            <v>1.4648992754873165</v>
          </cell>
          <cell r="AZ40">
            <v>1.7994863144866549</v>
          </cell>
          <cell r="BA40">
            <v>3.1008820903652272</v>
          </cell>
        </row>
        <row r="41">
          <cell r="AE41" t="str">
            <v>Deuda Flotante</v>
          </cell>
          <cell r="AF41">
            <v>3644.7359999999971</v>
          </cell>
          <cell r="AG41">
            <v>2491.2560000000012</v>
          </cell>
          <cell r="AH41">
            <v>-26115.823000000004</v>
          </cell>
          <cell r="AI41">
            <v>155729.42100000003</v>
          </cell>
          <cell r="AJ41">
            <v>151012.30223999999</v>
          </cell>
          <cell r="AK41">
            <v>575665.66724799993</v>
          </cell>
          <cell r="AL41">
            <v>557607.85152554</v>
          </cell>
          <cell r="AM41">
            <v>1761557.5052465</v>
          </cell>
          <cell r="AN41">
            <v>272057.42638512759</v>
          </cell>
          <cell r="AR41" t="str">
            <v>Deuda Flotante</v>
          </cell>
          <cell r="AS41">
            <v>2.4094719932305109E-2</v>
          </cell>
          <cell r="AT41">
            <v>1.2315804700011208E-2</v>
          </cell>
          <cell r="AU41">
            <v>-9.9523840210335307E-2</v>
          </cell>
          <cell r="AV41">
            <v>0.46993489146011708</v>
          </cell>
          <cell r="AW41">
            <v>0.34642414474542632</v>
          </cell>
          <cell r="AX41">
            <v>1.0117695616336349</v>
          </cell>
          <cell r="AY41">
            <v>0.77010198421597664</v>
          </cell>
          <cell r="AZ41">
            <v>1.9587858722257692</v>
          </cell>
          <cell r="BA41">
            <v>0.24960181902337952</v>
          </cell>
        </row>
        <row r="43">
          <cell r="AC43" t="str">
            <v>P = Proyectado</v>
          </cell>
          <cell r="AI43" t="str">
            <v>C:\CARLOSJ\PRES9194\PAGOS.XLS</v>
          </cell>
          <cell r="AM43" t="str">
            <v>Rango FMI 3</v>
          </cell>
          <cell r="AP43" t="str">
            <v xml:space="preserve"> PIB DEL AÑO ANTERIOR</v>
          </cell>
          <cell r="AS43">
            <v>15126700</v>
          </cell>
          <cell r="AT43">
            <v>20228122</v>
          </cell>
          <cell r="AU43">
            <v>26240771</v>
          </cell>
          <cell r="AV43">
            <v>33138510</v>
          </cell>
          <cell r="AW43">
            <v>43591737.045630313</v>
          </cell>
          <cell r="AX43">
            <v>56896914.977212004</v>
          </cell>
          <cell r="AY43">
            <v>72407014</v>
          </cell>
          <cell r="AZ43">
            <v>89931091</v>
          </cell>
          <cell r="BA43">
            <v>108996572</v>
          </cell>
        </row>
        <row r="44">
          <cell r="AR44" t="str">
            <v>C:\CARLOSJ\PRES9194\PAGOS.XLS</v>
          </cell>
          <cell r="AX44" t="str">
            <v>Rango FMI 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RESUOPE(fmi)"/>
      <sheetName val="RESUOPE"/>
      <sheetName val="MODELO"/>
      <sheetName val="INGRESOS GOB"/>
      <sheetName val="PAGOS GOB"/>
      <sheetName val="FINANCIAMIENTO GOB"/>
      <sheetName val="INGRESOS"/>
      <sheetName val="DETALL SP Y GG"/>
      <sheetName val="EXEDENT FINANC Y UTILI"/>
      <sheetName val="CAMBIOS2001"/>
      <sheetName val="ING-PROY-02 "/>
      <sheetName val="LIQUIDACION98"/>
      <sheetName val="Hoja1"/>
      <sheetName val="APRyPAGO-TRANSFE"/>
      <sheetName val="BDGOBIERNO"/>
      <sheetName val="SGPET"/>
      <sheetName val="TRANSFERENCIAS"/>
      <sheetName val="FONPET PPTO"/>
      <sheetName val="TRANSF_REFORMA98"/>
      <sheetName val="COSTO LEY100"/>
      <sheetName val="FINANCIAMIENTO"/>
      <sheetName val="DIFERIDOS"/>
      <sheetName val="CONSOLIDADO  FMI"/>
      <sheetName val="PRES NETO"/>
      <sheetName val="DEUDA EXTERNA"/>
      <sheetName val="proyeccionTESJULIO"/>
      <sheetName val="PRIVATIZACIONES"/>
      <sheetName val="proyeccionTES (2)"/>
      <sheetName val="proyeccionTES"/>
      <sheetName val="RESUMEN"/>
      <sheetName val="RESUMEN CON PLAN"/>
      <sheetName val="PIB"/>
      <sheetName val="DEUDA"/>
      <sheetName val="RESUOPE (2)"/>
      <sheetName val="Liquidación"/>
      <sheetName val="PROYECCION2000"/>
      <sheetName val="Cuadros CONFIS"/>
      <sheetName val=" SP y GG Leo"/>
      <sheetName val="deuda interna"/>
      <sheetName val="Proyecto Reforma Tributaria"/>
      <sheetName val="excedentes financieros"/>
      <sheetName val="Módulo1"/>
      <sheetName val="Módulo2"/>
      <sheetName val="DIFINGRESOS"/>
      <sheetName val="proy9798"/>
      <sheetName val="rezago"/>
      <sheetName val="I-FBKF"/>
      <sheetName val="DETALLE-INV"/>
      <sheetName val="detalle-planfin97-julio"/>
      <sheetName val="DEUDA ALTERN"/>
      <sheetName val="Formato Largo"/>
      <sheetName val="MODGOBIE"/>
      <sheetName val="TRIBUTARIOS"/>
      <sheetName val="APORTES A SEGSO"/>
      <sheetName val="TERRITORIALES"/>
      <sheetName val="OTROS CAPITAL"/>
      <sheetName val="% PIB"/>
      <sheetName val="DETALLE SERV.PERS. Y GTOS.GRALS"/>
      <sheetName val="TES"/>
      <sheetName val="DEUDA EXTERNA Y PRES NETO"/>
      <sheetName val="GOBIERNO"/>
    </sheetNames>
    <sheetDataSet>
      <sheetData sheetId="0" refreshError="1">
        <row r="47">
          <cell r="J47">
            <v>73510862</v>
          </cell>
          <cell r="K47">
            <v>89523824</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s>
    <sheetDataSet>
      <sheetData sheetId="0" refreshError="1">
        <row r="47">
          <cell r="O47">
            <v>186403084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RESUOPE(fmi)"/>
      <sheetName val="RESUOPE"/>
      <sheetName val="MODELO"/>
      <sheetName val="INGRESOS GOB"/>
      <sheetName val="PAGOS GOB"/>
      <sheetName val="FINANCIAMIENTO GOB"/>
      <sheetName val="INGRESOS"/>
      <sheetName val="DETALL SP Y GG"/>
      <sheetName val="EXEDENT FINANC Y UTILI"/>
      <sheetName val="CAMBIOS2001"/>
      <sheetName val="LIQUIDACION98"/>
      <sheetName val="ING-PROY-02 "/>
      <sheetName val="Hoja1"/>
      <sheetName val="APRyPAGO-TRANSFE"/>
      <sheetName val="BDGOBIERNO"/>
      <sheetName val="SGPET"/>
      <sheetName val="TRANSFERENCIAS"/>
      <sheetName val="FONPET PPTO"/>
      <sheetName val="TRANSF_REFORMA98"/>
      <sheetName val="COSTO LEY100"/>
      <sheetName val="FINANCIAMIENTO"/>
      <sheetName val="DIFERIDOS"/>
      <sheetName val="CONSOLIDADO  FMI"/>
      <sheetName val="PRES NETO"/>
      <sheetName val="DEUDA EXTERNA"/>
      <sheetName val="proyeccionTESJULIO"/>
      <sheetName val="PRIVATIZACIONES"/>
      <sheetName val="proyeccionTES (2)"/>
      <sheetName val="proyeccionTES"/>
      <sheetName val="RESUMEN"/>
      <sheetName val="RESUMEN CON PLAN"/>
      <sheetName val="PIB"/>
      <sheetName val="DEUDA"/>
      <sheetName val="modgobie CHEQUEO"/>
      <sheetName val="excedentes financieros"/>
    </sheetNames>
    <sheetDataSet>
      <sheetData sheetId="0" refreshError="1">
        <row r="47">
          <cell r="L47">
            <v>121707501</v>
          </cell>
          <cell r="M47">
            <v>140953206</v>
          </cell>
          <cell r="N47">
            <v>149042204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retariasenado.gov.co/senado/basedoc/ley/1993/ley_0100_1993_pr008.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295"/>
  <sheetViews>
    <sheetView showGridLines="0" tabSelected="1" zoomScale="55" zoomScaleNormal="55" workbookViewId="0">
      <pane xSplit="2" ySplit="9" topLeftCell="D10" activePane="bottomRight" state="frozen"/>
      <selection activeCell="F77" sqref="F77:H77"/>
      <selection pane="topRight" activeCell="F77" sqref="F77:H77"/>
      <selection pane="bottomLeft" activeCell="F77" sqref="F77:H77"/>
      <selection pane="bottomRight" activeCell="Y24" sqref="Y24"/>
    </sheetView>
  </sheetViews>
  <sheetFormatPr baseColWidth="10" defaultRowHeight="15"/>
  <cols>
    <col min="1" max="1" width="18" style="4" customWidth="1"/>
    <col min="2" max="2" width="17.33203125" style="5" customWidth="1"/>
    <col min="3" max="3" width="59.33203125" style="6" customWidth="1"/>
    <col min="4" max="4" width="46.6640625" style="6" customWidth="1"/>
    <col min="5" max="5" width="18.83203125" style="6" customWidth="1"/>
    <col min="6" max="6" width="46.1640625" style="6" customWidth="1"/>
    <col min="7" max="7" width="60.33203125" style="6" customWidth="1"/>
    <col min="8" max="8" width="20.5" style="6" customWidth="1"/>
    <col min="9" max="9" width="79.5" style="6" customWidth="1"/>
    <col min="10" max="10" width="72.83203125" style="6" customWidth="1"/>
    <col min="11" max="12" width="13.6640625" style="6" customWidth="1"/>
    <col min="13" max="13" width="10.83203125" style="6" customWidth="1"/>
    <col min="14" max="14" width="13.6640625" style="6" customWidth="1"/>
    <col min="15" max="17" width="17.6640625" style="6" customWidth="1"/>
    <col min="18" max="18" width="23.6640625" style="6" customWidth="1"/>
    <col min="19" max="19" width="32" style="6" customWidth="1"/>
    <col min="20" max="21" width="28.1640625" style="8" customWidth="1"/>
    <col min="22" max="22" width="20.83203125" style="8" customWidth="1"/>
    <col min="23" max="23" width="24.6640625" style="8" customWidth="1"/>
    <col min="24" max="24" width="26.1640625" style="8" customWidth="1"/>
    <col min="25" max="26" width="28.1640625" style="8" customWidth="1"/>
    <col min="27" max="27" width="36" style="6" customWidth="1"/>
    <col min="28" max="28" width="72.33203125" style="6" customWidth="1"/>
    <col min="29" max="29" width="96" style="6" customWidth="1"/>
    <col min="30" max="30" width="50.1640625" style="6" customWidth="1"/>
    <col min="31" max="31" width="66.83203125" style="6" customWidth="1"/>
    <col min="32" max="32" width="32.5" style="13" customWidth="1"/>
    <col min="33" max="33" width="38" style="13" customWidth="1"/>
    <col min="34" max="34" width="39" style="13" customWidth="1"/>
    <col min="35" max="16384" width="12" style="4"/>
  </cols>
  <sheetData>
    <row r="1" spans="1:34" ht="30" customHeight="1">
      <c r="A1" s="108" t="s">
        <v>24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row>
    <row r="2" spans="1:34" ht="30" customHeight="1">
      <c r="A2" s="108" t="s">
        <v>1337</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row>
    <row r="3" spans="1:34" ht="30" customHeight="1">
      <c r="A3" s="108" t="s">
        <v>1338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row>
    <row r="4" spans="1:34" ht="4.5" customHeight="1">
      <c r="B4" s="36"/>
      <c r="C4" s="36"/>
      <c r="D4" s="36"/>
      <c r="E4" s="36"/>
      <c r="F4" s="36"/>
      <c r="G4" s="36"/>
      <c r="H4" s="36"/>
      <c r="I4" s="36"/>
      <c r="J4" s="36"/>
      <c r="K4" s="36"/>
      <c r="L4" s="36"/>
      <c r="M4" s="36"/>
      <c r="N4" s="36"/>
      <c r="O4" s="36"/>
      <c r="P4" s="36"/>
      <c r="Q4" s="36"/>
      <c r="R4" s="36"/>
      <c r="S4" s="36"/>
      <c r="AA4" s="36"/>
      <c r="AB4" s="36"/>
      <c r="AC4" s="36"/>
      <c r="AD4" s="36"/>
      <c r="AE4" s="36"/>
    </row>
    <row r="5" spans="1:34" ht="4.5" customHeight="1">
      <c r="B5" s="36"/>
      <c r="C5" s="36"/>
      <c r="D5" s="36"/>
      <c r="E5" s="36"/>
      <c r="F5" s="36"/>
      <c r="G5" s="36"/>
      <c r="H5" s="36"/>
      <c r="I5" s="36"/>
      <c r="J5" s="36"/>
      <c r="K5" s="36"/>
      <c r="L5" s="36"/>
      <c r="M5" s="36"/>
      <c r="N5" s="36"/>
      <c r="O5" s="36"/>
      <c r="P5" s="36"/>
      <c r="Q5" s="36"/>
      <c r="R5" s="36"/>
      <c r="S5" s="36"/>
      <c r="AA5" s="36"/>
      <c r="AB5" s="36"/>
      <c r="AC5" s="36"/>
      <c r="AD5" s="36"/>
      <c r="AE5" s="36"/>
    </row>
    <row r="6" spans="1:34" ht="54.75" customHeight="1">
      <c r="A6" s="107" t="s">
        <v>1339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t="s">
        <v>1066</v>
      </c>
      <c r="AD6" s="107"/>
      <c r="AE6" s="107"/>
      <c r="AF6" s="107"/>
      <c r="AG6" s="107"/>
      <c r="AH6" s="107"/>
    </row>
    <row r="7" spans="1:34" s="21" customFormat="1" ht="47.25" customHeight="1">
      <c r="A7" s="50" t="s">
        <v>43</v>
      </c>
      <c r="B7" s="50" t="s">
        <v>15</v>
      </c>
      <c r="C7" s="63" t="s">
        <v>47</v>
      </c>
      <c r="D7" s="63" t="s">
        <v>111</v>
      </c>
      <c r="E7" s="63" t="s">
        <v>11</v>
      </c>
      <c r="F7" s="64" t="s">
        <v>185</v>
      </c>
      <c r="G7" s="65"/>
      <c r="H7" s="63" t="s">
        <v>12</v>
      </c>
      <c r="I7" s="68" t="s">
        <v>281</v>
      </c>
      <c r="J7" s="69"/>
      <c r="K7" s="69"/>
      <c r="L7" s="69"/>
      <c r="M7" s="69"/>
      <c r="N7" s="69"/>
      <c r="O7" s="69"/>
      <c r="P7" s="98"/>
      <c r="Q7" s="98"/>
      <c r="R7" s="69"/>
      <c r="S7" s="63" t="s">
        <v>282</v>
      </c>
      <c r="T7" s="75" t="s">
        <v>640</v>
      </c>
      <c r="U7" s="75"/>
      <c r="V7" s="75"/>
      <c r="W7" s="75"/>
      <c r="X7" s="75"/>
      <c r="Y7" s="75"/>
      <c r="Z7" s="75"/>
      <c r="AA7" s="63" t="s">
        <v>1067</v>
      </c>
      <c r="AB7" s="63" t="s">
        <v>52</v>
      </c>
      <c r="AC7" s="63" t="s">
        <v>1063</v>
      </c>
      <c r="AD7" s="63" t="s">
        <v>1064</v>
      </c>
      <c r="AE7" s="63" t="s">
        <v>1065</v>
      </c>
      <c r="AF7" s="73" t="s">
        <v>1335</v>
      </c>
      <c r="AG7" s="73"/>
      <c r="AH7" s="73"/>
    </row>
    <row r="8" spans="1:34" s="21" customFormat="1" ht="30" customHeight="1">
      <c r="A8" s="50"/>
      <c r="B8" s="50"/>
      <c r="C8" s="63"/>
      <c r="D8" s="63"/>
      <c r="E8" s="63"/>
      <c r="F8" s="66"/>
      <c r="G8" s="67"/>
      <c r="H8" s="63"/>
      <c r="I8" s="63" t="s">
        <v>13</v>
      </c>
      <c r="J8" s="50" t="s">
        <v>14</v>
      </c>
      <c r="K8" s="70" t="s">
        <v>280</v>
      </c>
      <c r="L8" s="71" t="s">
        <v>1035</v>
      </c>
      <c r="M8" s="63" t="s">
        <v>626</v>
      </c>
      <c r="N8" s="63" t="s">
        <v>1036</v>
      </c>
      <c r="O8" s="63"/>
      <c r="P8" s="63"/>
      <c r="Q8" s="63"/>
      <c r="R8" s="94" t="s">
        <v>1334</v>
      </c>
      <c r="S8" s="63"/>
      <c r="T8" s="75" t="s">
        <v>298</v>
      </c>
      <c r="U8" s="75"/>
      <c r="V8" s="75"/>
      <c r="W8" s="75"/>
      <c r="X8" s="75"/>
      <c r="Y8" s="75"/>
      <c r="Z8" s="76" t="s">
        <v>641</v>
      </c>
      <c r="AA8" s="63"/>
      <c r="AB8" s="63"/>
      <c r="AC8" s="63"/>
      <c r="AD8" s="63"/>
      <c r="AE8" s="63"/>
      <c r="AF8" s="73" t="s">
        <v>296</v>
      </c>
      <c r="AG8" s="73"/>
      <c r="AH8" s="74" t="s">
        <v>297</v>
      </c>
    </row>
    <row r="9" spans="1:34" s="21" customFormat="1" ht="30" customHeight="1">
      <c r="A9" s="50"/>
      <c r="B9" s="50"/>
      <c r="C9" s="63"/>
      <c r="D9" s="63"/>
      <c r="E9" s="63"/>
      <c r="F9" s="23" t="s">
        <v>13</v>
      </c>
      <c r="G9" s="23" t="s">
        <v>14</v>
      </c>
      <c r="H9" s="63"/>
      <c r="I9" s="63"/>
      <c r="J9" s="50"/>
      <c r="K9" s="70"/>
      <c r="L9" s="72"/>
      <c r="M9" s="63"/>
      <c r="N9" s="23">
        <v>2012</v>
      </c>
      <c r="O9" s="23">
        <v>2013</v>
      </c>
      <c r="P9" s="23">
        <v>2014</v>
      </c>
      <c r="Q9" s="23">
        <v>2015</v>
      </c>
      <c r="R9" s="95"/>
      <c r="S9" s="63"/>
      <c r="T9" s="74" t="s">
        <v>53</v>
      </c>
      <c r="U9" s="74" t="s">
        <v>54</v>
      </c>
      <c r="V9" s="74" t="s">
        <v>106</v>
      </c>
      <c r="W9" s="74" t="s">
        <v>179</v>
      </c>
      <c r="X9" s="74" t="s">
        <v>165</v>
      </c>
      <c r="Y9" s="74" t="s">
        <v>55</v>
      </c>
      <c r="Z9" s="75"/>
      <c r="AA9" s="63"/>
      <c r="AB9" s="63"/>
      <c r="AC9" s="63"/>
      <c r="AD9" s="63"/>
      <c r="AE9" s="63"/>
      <c r="AF9" s="74" t="s">
        <v>1037</v>
      </c>
      <c r="AG9" s="74" t="s">
        <v>1038</v>
      </c>
      <c r="AH9" s="74" t="s">
        <v>1037</v>
      </c>
    </row>
    <row r="10" spans="1:34" s="21" customFormat="1" ht="42.75">
      <c r="A10" s="51" t="s">
        <v>119</v>
      </c>
      <c r="B10" s="40" t="s">
        <v>1</v>
      </c>
      <c r="C10" s="42" t="s">
        <v>81</v>
      </c>
      <c r="D10" s="42" t="s">
        <v>237</v>
      </c>
      <c r="E10" s="42" t="s">
        <v>16</v>
      </c>
      <c r="F10" s="42" t="s">
        <v>171</v>
      </c>
      <c r="G10" s="42" t="s">
        <v>561</v>
      </c>
      <c r="H10" s="42" t="s">
        <v>126</v>
      </c>
      <c r="I10" s="42" t="s">
        <v>163</v>
      </c>
      <c r="J10" s="39" t="s">
        <v>781</v>
      </c>
      <c r="K10" s="39">
        <v>300</v>
      </c>
      <c r="L10" s="39">
        <v>1500</v>
      </c>
      <c r="M10" s="39" t="s">
        <v>627</v>
      </c>
      <c r="N10" s="20">
        <v>0</v>
      </c>
      <c r="O10" s="20">
        <v>500</v>
      </c>
      <c r="P10" s="20">
        <v>1200</v>
      </c>
      <c r="Q10" s="20">
        <v>1500</v>
      </c>
      <c r="R10" s="20"/>
      <c r="S10" s="39" t="s">
        <v>44</v>
      </c>
      <c r="T10" s="30">
        <v>0</v>
      </c>
      <c r="U10" s="30">
        <v>6139546428.4966259</v>
      </c>
      <c r="V10" s="39"/>
      <c r="W10" s="30"/>
      <c r="X10" s="30"/>
      <c r="Y10" s="30">
        <v>0</v>
      </c>
      <c r="Z10" s="30">
        <f>+T10+U10+V10+W10+X10+Y10</f>
        <v>6139546428.4966259</v>
      </c>
      <c r="AA10" s="42" t="s">
        <v>341</v>
      </c>
      <c r="AB10" s="39" t="s">
        <v>1040</v>
      </c>
      <c r="AC10" s="39"/>
      <c r="AD10" s="39"/>
      <c r="AE10" s="39"/>
      <c r="AF10" s="17"/>
      <c r="AG10" s="17"/>
      <c r="AH10" s="17">
        <v>301000000</v>
      </c>
    </row>
    <row r="11" spans="1:34" s="21" customFormat="1" ht="42.75">
      <c r="A11" s="51"/>
      <c r="B11" s="40"/>
      <c r="C11" s="42"/>
      <c r="D11" s="42"/>
      <c r="E11" s="42"/>
      <c r="F11" s="42"/>
      <c r="G11" s="42"/>
      <c r="H11" s="42"/>
      <c r="I11" s="42"/>
      <c r="J11" s="39" t="s">
        <v>782</v>
      </c>
      <c r="K11" s="30">
        <v>3300</v>
      </c>
      <c r="L11" s="30">
        <v>3450</v>
      </c>
      <c r="M11" s="39" t="s">
        <v>627</v>
      </c>
      <c r="N11" s="20">
        <v>3350</v>
      </c>
      <c r="O11" s="20">
        <v>3380</v>
      </c>
      <c r="P11" s="20">
        <v>3400</v>
      </c>
      <c r="Q11" s="20">
        <v>3450</v>
      </c>
      <c r="R11" s="20"/>
      <c r="S11" s="39" t="s">
        <v>44</v>
      </c>
      <c r="T11" s="30">
        <v>0</v>
      </c>
      <c r="U11" s="30">
        <v>11504673577.92149</v>
      </c>
      <c r="V11" s="39"/>
      <c r="W11" s="30"/>
      <c r="X11" s="30"/>
      <c r="Y11" s="30">
        <v>0</v>
      </c>
      <c r="Z11" s="30">
        <f t="shared" ref="Z11:Z74" si="0">+T11+U11+V11+W11+X11+Y11</f>
        <v>11504673577.92149</v>
      </c>
      <c r="AA11" s="42"/>
      <c r="AB11" s="39" t="s">
        <v>1041</v>
      </c>
      <c r="AC11" s="39"/>
      <c r="AD11" s="39"/>
      <c r="AE11" s="39"/>
      <c r="AF11" s="17"/>
      <c r="AG11" s="17"/>
      <c r="AH11" s="17">
        <v>3721850000</v>
      </c>
    </row>
    <row r="12" spans="1:34" s="21" customFormat="1" ht="42.75">
      <c r="A12" s="51"/>
      <c r="B12" s="40"/>
      <c r="C12" s="42"/>
      <c r="D12" s="42"/>
      <c r="E12" s="42"/>
      <c r="F12" s="42"/>
      <c r="G12" s="42"/>
      <c r="H12" s="42"/>
      <c r="I12" s="42"/>
      <c r="J12" s="39" t="s">
        <v>783</v>
      </c>
      <c r="K12" s="30">
        <v>19440</v>
      </c>
      <c r="L12" s="30">
        <v>20229</v>
      </c>
      <c r="M12" s="39" t="s">
        <v>627</v>
      </c>
      <c r="N12" s="20">
        <v>19634.400000000001</v>
      </c>
      <c r="O12" s="20">
        <v>19830.744000000002</v>
      </c>
      <c r="P12" s="20">
        <v>20029.051440000003</v>
      </c>
      <c r="Q12" s="20">
        <v>20229.341954400003</v>
      </c>
      <c r="R12" s="20"/>
      <c r="S12" s="39" t="s">
        <v>44</v>
      </c>
      <c r="T12" s="30">
        <v>0</v>
      </c>
      <c r="U12" s="30">
        <f>94091871841.5637+10326502295-9000</f>
        <v>104418365136.56371</v>
      </c>
      <c r="V12" s="39"/>
      <c r="W12" s="30"/>
      <c r="X12" s="30"/>
      <c r="Y12" s="30">
        <v>0</v>
      </c>
      <c r="Z12" s="30">
        <f t="shared" si="0"/>
        <v>104418365136.56371</v>
      </c>
      <c r="AA12" s="42"/>
      <c r="AB12" s="39" t="s">
        <v>1042</v>
      </c>
      <c r="AC12" s="39"/>
      <c r="AD12" s="39"/>
      <c r="AE12" s="39"/>
      <c r="AF12" s="17"/>
      <c r="AG12" s="17"/>
      <c r="AH12" s="17">
        <v>24250455268</v>
      </c>
    </row>
    <row r="13" spans="1:34" s="21" customFormat="1" ht="28.5">
      <c r="A13" s="51"/>
      <c r="B13" s="40"/>
      <c r="C13" s="42"/>
      <c r="D13" s="42"/>
      <c r="E13" s="42"/>
      <c r="F13" s="42"/>
      <c r="G13" s="42"/>
      <c r="H13" s="42"/>
      <c r="I13" s="42"/>
      <c r="J13" s="39" t="s">
        <v>784</v>
      </c>
      <c r="K13" s="30">
        <v>15643</v>
      </c>
      <c r="L13" s="30">
        <v>16260</v>
      </c>
      <c r="M13" s="39" t="s">
        <v>627</v>
      </c>
      <c r="N13" s="20">
        <v>15799.43</v>
      </c>
      <c r="O13" s="20">
        <v>15957.424300000001</v>
      </c>
      <c r="P13" s="20">
        <v>16116.998543</v>
      </c>
      <c r="Q13" s="20">
        <v>16260</v>
      </c>
      <c r="R13" s="20"/>
      <c r="S13" s="39" t="s">
        <v>44</v>
      </c>
      <c r="T13" s="30">
        <v>0</v>
      </c>
      <c r="U13" s="30">
        <f>90661834577.9695</f>
        <v>90661834577.969498</v>
      </c>
      <c r="V13" s="39"/>
      <c r="W13" s="30"/>
      <c r="X13" s="30"/>
      <c r="Y13" s="30">
        <v>0</v>
      </c>
      <c r="Z13" s="30">
        <f t="shared" si="0"/>
        <v>90661834577.969498</v>
      </c>
      <c r="AA13" s="42"/>
      <c r="AB13" s="39" t="s">
        <v>1043</v>
      </c>
      <c r="AC13" s="39"/>
      <c r="AD13" s="39"/>
      <c r="AE13" s="39"/>
      <c r="AF13" s="17"/>
      <c r="AG13" s="17"/>
      <c r="AH13" s="17">
        <v>22340394020</v>
      </c>
    </row>
    <row r="14" spans="1:34" s="21" customFormat="1" ht="28.5">
      <c r="A14" s="51"/>
      <c r="B14" s="40"/>
      <c r="C14" s="42"/>
      <c r="D14" s="42"/>
      <c r="E14" s="42"/>
      <c r="F14" s="42"/>
      <c r="G14" s="42"/>
      <c r="H14" s="42"/>
      <c r="I14" s="42"/>
      <c r="J14" s="39" t="s">
        <v>785</v>
      </c>
      <c r="K14" s="30">
        <v>5551</v>
      </c>
      <c r="L14" s="30">
        <v>5770</v>
      </c>
      <c r="M14" s="39" t="s">
        <v>627</v>
      </c>
      <c r="N14" s="20">
        <v>5605.5</v>
      </c>
      <c r="O14" s="20">
        <v>5661.5550000000003</v>
      </c>
      <c r="P14" s="20">
        <v>5718.1705500000007</v>
      </c>
      <c r="Q14" s="20">
        <v>5770</v>
      </c>
      <c r="R14" s="20"/>
      <c r="S14" s="39" t="s">
        <v>44</v>
      </c>
      <c r="T14" s="30">
        <v>0</v>
      </c>
      <c r="U14" s="30">
        <f>34483364150.271</f>
        <v>34483364150.271004</v>
      </c>
      <c r="V14" s="39"/>
      <c r="W14" s="30"/>
      <c r="X14" s="30"/>
      <c r="Y14" s="30">
        <v>254448756</v>
      </c>
      <c r="Z14" s="30">
        <f t="shared" si="0"/>
        <v>34737812906.271004</v>
      </c>
      <c r="AA14" s="42"/>
      <c r="AB14" s="39" t="s">
        <v>1039</v>
      </c>
      <c r="AC14" s="39"/>
      <c r="AD14" s="39"/>
      <c r="AE14" s="39"/>
      <c r="AF14" s="17"/>
      <c r="AG14" s="17"/>
      <c r="AH14" s="17">
        <v>8492332500</v>
      </c>
    </row>
    <row r="15" spans="1:34" s="21" customFormat="1" ht="57">
      <c r="A15" s="51"/>
      <c r="B15" s="40"/>
      <c r="C15" s="42"/>
      <c r="D15" s="42"/>
      <c r="E15" s="42"/>
      <c r="F15" s="42"/>
      <c r="G15" s="42"/>
      <c r="H15" s="42"/>
      <c r="I15" s="42"/>
      <c r="J15" s="39" t="s">
        <v>786</v>
      </c>
      <c r="K15" s="39">
        <v>1400</v>
      </c>
      <c r="L15" s="39">
        <v>1680</v>
      </c>
      <c r="M15" s="39" t="s">
        <v>627</v>
      </c>
      <c r="N15" s="20">
        <v>1450</v>
      </c>
      <c r="O15" s="20">
        <v>1500</v>
      </c>
      <c r="P15" s="20">
        <v>1550</v>
      </c>
      <c r="Q15" s="20">
        <v>1680</v>
      </c>
      <c r="R15" s="20"/>
      <c r="S15" s="39" t="s">
        <v>44</v>
      </c>
      <c r="T15" s="30">
        <v>0</v>
      </c>
      <c r="U15" s="30">
        <v>411679535.33694428</v>
      </c>
      <c r="V15" s="39"/>
      <c r="W15" s="30"/>
      <c r="X15" s="30"/>
      <c r="Y15" s="30">
        <v>0</v>
      </c>
      <c r="Z15" s="30">
        <f t="shared" si="0"/>
        <v>411679535.33694428</v>
      </c>
      <c r="AA15" s="42"/>
      <c r="AB15" s="39" t="s">
        <v>1044</v>
      </c>
      <c r="AC15" s="39"/>
      <c r="AD15" s="39"/>
      <c r="AE15" s="39"/>
      <c r="AF15" s="17"/>
      <c r="AG15" s="17"/>
      <c r="AH15" s="17">
        <v>1905531568.1900001</v>
      </c>
    </row>
    <row r="16" spans="1:34" s="21" customFormat="1" ht="42.75">
      <c r="A16" s="51"/>
      <c r="B16" s="40"/>
      <c r="C16" s="42"/>
      <c r="D16" s="42"/>
      <c r="E16" s="42"/>
      <c r="F16" s="42"/>
      <c r="G16" s="42"/>
      <c r="H16" s="42"/>
      <c r="I16" s="42"/>
      <c r="J16" s="39" t="s">
        <v>787</v>
      </c>
      <c r="K16" s="39">
        <v>0</v>
      </c>
      <c r="L16" s="39">
        <v>117</v>
      </c>
      <c r="M16" s="39" t="s">
        <v>627</v>
      </c>
      <c r="N16" s="20">
        <v>10</v>
      </c>
      <c r="O16" s="20">
        <v>20</v>
      </c>
      <c r="P16" s="20">
        <v>50</v>
      </c>
      <c r="Q16" s="20">
        <v>117</v>
      </c>
      <c r="R16" s="20"/>
      <c r="S16" s="39" t="s">
        <v>44</v>
      </c>
      <c r="T16" s="30">
        <v>0</v>
      </c>
      <c r="U16" s="30">
        <v>387586504.44383967</v>
      </c>
      <c r="V16" s="39"/>
      <c r="W16" s="30"/>
      <c r="X16" s="30"/>
      <c r="Y16" s="30">
        <v>0</v>
      </c>
      <c r="Z16" s="30">
        <f t="shared" si="0"/>
        <v>387586504.44383967</v>
      </c>
      <c r="AA16" s="42"/>
      <c r="AB16" s="39" t="s">
        <v>342</v>
      </c>
      <c r="AC16" s="39"/>
      <c r="AD16" s="39"/>
      <c r="AE16" s="39"/>
      <c r="AF16" s="17"/>
      <c r="AG16" s="17"/>
      <c r="AH16" s="17">
        <v>142558844</v>
      </c>
    </row>
    <row r="17" spans="1:34" s="21" customFormat="1">
      <c r="A17" s="51"/>
      <c r="B17" s="40"/>
      <c r="C17" s="42"/>
      <c r="D17" s="42"/>
      <c r="E17" s="42"/>
      <c r="F17" s="42"/>
      <c r="G17" s="42"/>
      <c r="H17" s="42"/>
      <c r="I17" s="39" t="s">
        <v>215</v>
      </c>
      <c r="J17" s="39" t="s">
        <v>216</v>
      </c>
      <c r="K17" s="39">
        <v>4</v>
      </c>
      <c r="L17" s="39">
        <v>10</v>
      </c>
      <c r="M17" s="39" t="s">
        <v>627</v>
      </c>
      <c r="N17" s="20">
        <v>0</v>
      </c>
      <c r="O17" s="20">
        <v>6</v>
      </c>
      <c r="P17" s="20">
        <v>7</v>
      </c>
      <c r="Q17" s="20">
        <v>10</v>
      </c>
      <c r="R17" s="20"/>
      <c r="S17" s="39" t="s">
        <v>44</v>
      </c>
      <c r="T17" s="30">
        <v>0</v>
      </c>
      <c r="U17" s="30">
        <v>122790928.56993254</v>
      </c>
      <c r="V17" s="39"/>
      <c r="W17" s="30"/>
      <c r="X17" s="30"/>
      <c r="Y17" s="30">
        <v>0</v>
      </c>
      <c r="Z17" s="30">
        <f t="shared" si="0"/>
        <v>122790928.56993254</v>
      </c>
      <c r="AA17" s="42"/>
      <c r="AB17" s="39" t="s">
        <v>1045</v>
      </c>
      <c r="AC17" s="39"/>
      <c r="AD17" s="39"/>
      <c r="AE17" s="39"/>
      <c r="AF17" s="17"/>
      <c r="AG17" s="17"/>
      <c r="AH17" s="17">
        <v>10000000</v>
      </c>
    </row>
    <row r="18" spans="1:34" s="21" customFormat="1" ht="42.75">
      <c r="A18" s="51"/>
      <c r="B18" s="40"/>
      <c r="C18" s="42"/>
      <c r="D18" s="42"/>
      <c r="E18" s="42"/>
      <c r="F18" s="42"/>
      <c r="G18" s="42"/>
      <c r="H18" s="42"/>
      <c r="I18" s="39" t="s">
        <v>222</v>
      </c>
      <c r="J18" s="39" t="s">
        <v>223</v>
      </c>
      <c r="K18" s="39">
        <v>1</v>
      </c>
      <c r="L18" s="39">
        <v>10</v>
      </c>
      <c r="M18" s="39" t="s">
        <v>627</v>
      </c>
      <c r="N18" s="20">
        <v>1</v>
      </c>
      <c r="O18" s="20">
        <v>5</v>
      </c>
      <c r="P18" s="20">
        <v>8</v>
      </c>
      <c r="Q18" s="20">
        <v>10</v>
      </c>
      <c r="R18" s="20"/>
      <c r="S18" s="39" t="s">
        <v>44</v>
      </c>
      <c r="T18" s="30">
        <v>0</v>
      </c>
      <c r="U18" s="30">
        <v>122790928.56993254</v>
      </c>
      <c r="V18" s="39"/>
      <c r="W18" s="30"/>
      <c r="X18" s="30"/>
      <c r="Y18" s="30">
        <v>0</v>
      </c>
      <c r="Z18" s="30">
        <f t="shared" si="0"/>
        <v>122790928.56993254</v>
      </c>
      <c r="AA18" s="42"/>
      <c r="AB18" s="39" t="s">
        <v>1046</v>
      </c>
      <c r="AC18" s="39"/>
      <c r="AD18" s="39"/>
      <c r="AE18" s="39"/>
      <c r="AF18" s="17"/>
      <c r="AG18" s="17"/>
      <c r="AH18" s="17">
        <v>10000000</v>
      </c>
    </row>
    <row r="19" spans="1:34" s="21" customFormat="1" ht="28.5">
      <c r="A19" s="51"/>
      <c r="B19" s="40"/>
      <c r="C19" s="42"/>
      <c r="D19" s="42"/>
      <c r="E19" s="42"/>
      <c r="F19" s="42"/>
      <c r="G19" s="42"/>
      <c r="H19" s="42"/>
      <c r="I19" s="39" t="s">
        <v>217</v>
      </c>
      <c r="J19" s="39" t="s">
        <v>218</v>
      </c>
      <c r="K19" s="39">
        <v>0</v>
      </c>
      <c r="L19" s="39">
        <v>1</v>
      </c>
      <c r="M19" s="39" t="s">
        <v>627</v>
      </c>
      <c r="N19" s="20">
        <v>0</v>
      </c>
      <c r="O19" s="20">
        <v>1</v>
      </c>
      <c r="P19" s="20">
        <v>0</v>
      </c>
      <c r="Q19" s="20">
        <v>0</v>
      </c>
      <c r="R19" s="20"/>
      <c r="S19" s="39" t="s">
        <v>44</v>
      </c>
      <c r="T19" s="30"/>
      <c r="U19" s="30"/>
      <c r="V19" s="39"/>
      <c r="W19" s="30"/>
      <c r="X19" s="30"/>
      <c r="Y19" s="30"/>
      <c r="Z19" s="30">
        <f t="shared" si="0"/>
        <v>0</v>
      </c>
      <c r="AA19" s="42"/>
      <c r="AB19" s="39" t="s">
        <v>1047</v>
      </c>
      <c r="AC19" s="39"/>
      <c r="AD19" s="39"/>
      <c r="AE19" s="39"/>
      <c r="AF19" s="17"/>
      <c r="AG19" s="17"/>
      <c r="AH19" s="17">
        <v>10000000</v>
      </c>
    </row>
    <row r="20" spans="1:34" s="21" customFormat="1">
      <c r="A20" s="51"/>
      <c r="B20" s="40"/>
      <c r="C20" s="42"/>
      <c r="D20" s="42"/>
      <c r="E20" s="42"/>
      <c r="F20" s="42"/>
      <c r="G20" s="42"/>
      <c r="H20" s="42"/>
      <c r="I20" s="42" t="s">
        <v>224</v>
      </c>
      <c r="J20" s="39" t="s">
        <v>225</v>
      </c>
      <c r="K20" s="39">
        <v>0</v>
      </c>
      <c r="L20" s="39">
        <v>12</v>
      </c>
      <c r="M20" s="39" t="s">
        <v>627</v>
      </c>
      <c r="N20" s="20">
        <v>0</v>
      </c>
      <c r="O20" s="20">
        <v>4</v>
      </c>
      <c r="P20" s="20">
        <v>6</v>
      </c>
      <c r="Q20" s="20">
        <v>12</v>
      </c>
      <c r="R20" s="20"/>
      <c r="S20" s="39" t="s">
        <v>44</v>
      </c>
      <c r="T20" s="30"/>
      <c r="U20" s="30">
        <v>1000000000</v>
      </c>
      <c r="V20" s="39"/>
      <c r="W20" s="30"/>
      <c r="X20" s="30"/>
      <c r="Y20" s="30">
        <v>0</v>
      </c>
      <c r="Z20" s="30">
        <f t="shared" si="0"/>
        <v>1000000000</v>
      </c>
      <c r="AA20" s="42"/>
      <c r="AB20" s="39" t="s">
        <v>1048</v>
      </c>
      <c r="AC20" s="39"/>
      <c r="AD20" s="39"/>
      <c r="AE20" s="39"/>
      <c r="AF20" s="17"/>
      <c r="AG20" s="17"/>
      <c r="AH20" s="17">
        <v>1148795397</v>
      </c>
    </row>
    <row r="21" spans="1:34" s="21" customFormat="1">
      <c r="A21" s="51"/>
      <c r="B21" s="40"/>
      <c r="C21" s="42"/>
      <c r="D21" s="42"/>
      <c r="E21" s="42"/>
      <c r="F21" s="42"/>
      <c r="G21" s="42"/>
      <c r="H21" s="42"/>
      <c r="I21" s="42"/>
      <c r="J21" s="39" t="s">
        <v>226</v>
      </c>
      <c r="K21" s="39">
        <v>0</v>
      </c>
      <c r="L21" s="39">
        <v>25</v>
      </c>
      <c r="M21" s="39" t="s">
        <v>627</v>
      </c>
      <c r="N21" s="20">
        <v>5</v>
      </c>
      <c r="O21" s="20">
        <v>15</v>
      </c>
      <c r="P21" s="20">
        <v>20</v>
      </c>
      <c r="Q21" s="20">
        <v>25</v>
      </c>
      <c r="R21" s="20"/>
      <c r="S21" s="39" t="s">
        <v>44</v>
      </c>
      <c r="T21" s="30">
        <v>0</v>
      </c>
      <c r="U21" s="30">
        <f>1000000000+122790928.569933</f>
        <v>1122790928.5699329</v>
      </c>
      <c r="V21" s="39"/>
      <c r="W21" s="30"/>
      <c r="X21" s="30"/>
      <c r="Y21" s="30">
        <v>1210886687</v>
      </c>
      <c r="Z21" s="30">
        <f t="shared" si="0"/>
        <v>2333677615.5699329</v>
      </c>
      <c r="AA21" s="42"/>
      <c r="AB21" s="39" t="s">
        <v>1048</v>
      </c>
      <c r="AC21" s="39"/>
      <c r="AD21" s="39"/>
      <c r="AE21" s="39"/>
      <c r="AF21" s="17"/>
      <c r="AG21" s="17"/>
      <c r="AH21" s="17">
        <v>0</v>
      </c>
    </row>
    <row r="22" spans="1:34" s="21" customFormat="1" ht="28.5">
      <c r="A22" s="51"/>
      <c r="B22" s="40"/>
      <c r="C22" s="42"/>
      <c r="D22" s="42"/>
      <c r="E22" s="42"/>
      <c r="F22" s="42"/>
      <c r="G22" s="42"/>
      <c r="H22" s="42"/>
      <c r="I22" s="39" t="s">
        <v>29</v>
      </c>
      <c r="J22" s="39" t="s">
        <v>30</v>
      </c>
      <c r="K22" s="39">
        <v>0</v>
      </c>
      <c r="L22" s="39">
        <v>1</v>
      </c>
      <c r="M22" s="39" t="s">
        <v>627</v>
      </c>
      <c r="N22" s="20">
        <v>0</v>
      </c>
      <c r="O22" s="77">
        <v>0.2</v>
      </c>
      <c r="P22" s="77">
        <v>0.5</v>
      </c>
      <c r="Q22" s="20">
        <v>1</v>
      </c>
      <c r="R22" s="20"/>
      <c r="S22" s="39" t="s">
        <v>44</v>
      </c>
      <c r="T22" s="30"/>
      <c r="U22" s="30">
        <v>0</v>
      </c>
      <c r="V22" s="39"/>
      <c r="W22" s="30"/>
      <c r="X22" s="30">
        <v>10000000000</v>
      </c>
      <c r="Y22" s="30"/>
      <c r="Z22" s="30">
        <f t="shared" si="0"/>
        <v>10000000000</v>
      </c>
      <c r="AA22" s="42"/>
      <c r="AB22" s="39" t="s">
        <v>1049</v>
      </c>
      <c r="AC22" s="39"/>
      <c r="AD22" s="39"/>
      <c r="AE22" s="39"/>
      <c r="AF22" s="17"/>
      <c r="AG22" s="17"/>
      <c r="AH22" s="17">
        <v>0</v>
      </c>
    </row>
    <row r="23" spans="1:34" s="21" customFormat="1" ht="42.75">
      <c r="A23" s="51"/>
      <c r="B23" s="40"/>
      <c r="C23" s="42" t="s">
        <v>90</v>
      </c>
      <c r="D23" s="42" t="s">
        <v>238</v>
      </c>
      <c r="E23" s="42" t="s">
        <v>91</v>
      </c>
      <c r="F23" s="43" t="s">
        <v>244</v>
      </c>
      <c r="G23" s="42" t="s">
        <v>245</v>
      </c>
      <c r="H23" s="42" t="s">
        <v>66</v>
      </c>
      <c r="I23" s="39" t="s">
        <v>129</v>
      </c>
      <c r="J23" s="39" t="s">
        <v>788</v>
      </c>
      <c r="K23" s="39">
        <v>0</v>
      </c>
      <c r="L23" s="39">
        <v>1000</v>
      </c>
      <c r="M23" s="39" t="s">
        <v>627</v>
      </c>
      <c r="N23" s="20">
        <v>0</v>
      </c>
      <c r="O23" s="20">
        <v>250</v>
      </c>
      <c r="P23" s="20">
        <v>500</v>
      </c>
      <c r="Q23" s="20">
        <v>1000</v>
      </c>
      <c r="R23" s="20"/>
      <c r="S23" s="39" t="s">
        <v>44</v>
      </c>
      <c r="T23" s="30">
        <v>300000000</v>
      </c>
      <c r="U23" s="30"/>
      <c r="V23" s="39"/>
      <c r="W23" s="30"/>
      <c r="X23" s="30"/>
      <c r="Y23" s="30">
        <v>0</v>
      </c>
      <c r="Z23" s="30">
        <f t="shared" si="0"/>
        <v>300000000</v>
      </c>
      <c r="AA23" s="42"/>
      <c r="AB23" s="39" t="s">
        <v>1050</v>
      </c>
      <c r="AC23" s="39"/>
      <c r="AD23" s="39"/>
      <c r="AE23" s="39"/>
      <c r="AF23" s="17"/>
      <c r="AG23" s="17"/>
      <c r="AH23" s="17">
        <v>1000000</v>
      </c>
    </row>
    <row r="24" spans="1:34" s="21" customFormat="1" ht="42.75">
      <c r="A24" s="51"/>
      <c r="B24" s="40"/>
      <c r="C24" s="42"/>
      <c r="D24" s="42"/>
      <c r="E24" s="42"/>
      <c r="F24" s="43"/>
      <c r="G24" s="42"/>
      <c r="H24" s="42"/>
      <c r="I24" s="39" t="s">
        <v>295</v>
      </c>
      <c r="J24" s="39" t="s">
        <v>789</v>
      </c>
      <c r="K24" s="39">
        <v>0</v>
      </c>
      <c r="L24" s="39">
        <v>1</v>
      </c>
      <c r="M24" s="39" t="s">
        <v>627</v>
      </c>
      <c r="N24" s="20">
        <v>0</v>
      </c>
      <c r="O24" s="20">
        <v>1</v>
      </c>
      <c r="P24" s="20">
        <v>0</v>
      </c>
      <c r="Q24" s="20">
        <v>0</v>
      </c>
      <c r="R24" s="20"/>
      <c r="S24" s="39" t="s">
        <v>44</v>
      </c>
      <c r="T24" s="30">
        <v>0</v>
      </c>
      <c r="U24" s="30"/>
      <c r="V24" s="30">
        <v>0</v>
      </c>
      <c r="W24" s="30"/>
      <c r="X24" s="30">
        <v>2000000000</v>
      </c>
      <c r="Y24" s="30"/>
      <c r="Z24" s="30">
        <f t="shared" si="0"/>
        <v>2000000000</v>
      </c>
      <c r="AA24" s="42"/>
      <c r="AB24" s="39" t="s">
        <v>1051</v>
      </c>
      <c r="AC24" s="39"/>
      <c r="AD24" s="39"/>
      <c r="AE24" s="39"/>
      <c r="AF24" s="17"/>
      <c r="AG24" s="17"/>
      <c r="AH24" s="17">
        <v>0</v>
      </c>
    </row>
    <row r="25" spans="1:34" s="21" customFormat="1" ht="28.5">
      <c r="A25" s="51"/>
      <c r="B25" s="40"/>
      <c r="C25" s="42"/>
      <c r="D25" s="42"/>
      <c r="E25" s="42"/>
      <c r="F25" s="43"/>
      <c r="G25" s="42"/>
      <c r="H25" s="42"/>
      <c r="I25" s="42" t="s">
        <v>178</v>
      </c>
      <c r="J25" s="39" t="s">
        <v>790</v>
      </c>
      <c r="K25" s="39">
        <v>12</v>
      </c>
      <c r="L25" s="39">
        <v>27</v>
      </c>
      <c r="M25" s="39" t="s">
        <v>627</v>
      </c>
      <c r="N25" s="20">
        <v>0</v>
      </c>
      <c r="O25" s="20">
        <v>15</v>
      </c>
      <c r="P25" s="20">
        <v>20</v>
      </c>
      <c r="Q25" s="20">
        <v>27</v>
      </c>
      <c r="R25" s="20"/>
      <c r="S25" s="39" t="s">
        <v>44</v>
      </c>
      <c r="T25" s="58">
        <v>0</v>
      </c>
      <c r="U25" s="58">
        <v>202622294.51650399</v>
      </c>
      <c r="V25" s="42"/>
      <c r="W25" s="58"/>
      <c r="X25" s="58"/>
      <c r="Y25" s="58">
        <v>0</v>
      </c>
      <c r="Z25" s="58">
        <f t="shared" si="0"/>
        <v>202622294.51650399</v>
      </c>
      <c r="AA25" s="42"/>
      <c r="AB25" s="39" t="s">
        <v>1052</v>
      </c>
      <c r="AC25" s="39"/>
      <c r="AD25" s="39"/>
      <c r="AE25" s="39"/>
      <c r="AF25" s="17"/>
      <c r="AG25" s="17"/>
      <c r="AH25" s="17">
        <v>1000000</v>
      </c>
    </row>
    <row r="26" spans="1:34" s="21" customFormat="1" ht="42.75">
      <c r="A26" s="51"/>
      <c r="B26" s="40"/>
      <c r="C26" s="42"/>
      <c r="D26" s="42"/>
      <c r="E26" s="42"/>
      <c r="F26" s="43"/>
      <c r="G26" s="42"/>
      <c r="H26" s="42"/>
      <c r="I26" s="42"/>
      <c r="J26" s="39" t="s">
        <v>791</v>
      </c>
      <c r="K26" s="39">
        <v>0</v>
      </c>
      <c r="L26" s="39">
        <v>1</v>
      </c>
      <c r="M26" s="39" t="s">
        <v>627</v>
      </c>
      <c r="N26" s="20">
        <v>1</v>
      </c>
      <c r="O26" s="20">
        <v>1</v>
      </c>
      <c r="P26" s="20">
        <v>1</v>
      </c>
      <c r="Q26" s="20">
        <v>1</v>
      </c>
      <c r="R26" s="20"/>
      <c r="S26" s="39" t="s">
        <v>44</v>
      </c>
      <c r="T26" s="58"/>
      <c r="U26" s="58"/>
      <c r="V26" s="42"/>
      <c r="W26" s="58"/>
      <c r="X26" s="58"/>
      <c r="Y26" s="58"/>
      <c r="Z26" s="58">
        <f t="shared" si="0"/>
        <v>0</v>
      </c>
      <c r="AA26" s="42"/>
      <c r="AB26" s="39" t="s">
        <v>1053</v>
      </c>
      <c r="AC26" s="39"/>
      <c r="AD26" s="39"/>
      <c r="AE26" s="39"/>
      <c r="AF26" s="17"/>
      <c r="AG26" s="17"/>
      <c r="AH26" s="17">
        <v>0</v>
      </c>
    </row>
    <row r="27" spans="1:34" s="21" customFormat="1" ht="42.75">
      <c r="A27" s="51"/>
      <c r="B27" s="40"/>
      <c r="C27" s="39" t="s">
        <v>229</v>
      </c>
      <c r="D27" s="39" t="s">
        <v>239</v>
      </c>
      <c r="E27" s="39" t="s">
        <v>17</v>
      </c>
      <c r="F27" s="32" t="s">
        <v>176</v>
      </c>
      <c r="G27" s="39" t="s">
        <v>246</v>
      </c>
      <c r="H27" s="39" t="s">
        <v>18</v>
      </c>
      <c r="I27" s="39" t="s">
        <v>48</v>
      </c>
      <c r="J27" s="39" t="s">
        <v>49</v>
      </c>
      <c r="K27" s="30">
        <v>1896</v>
      </c>
      <c r="L27" s="30">
        <f>1896+200</f>
        <v>2096</v>
      </c>
      <c r="M27" s="39" t="s">
        <v>627</v>
      </c>
      <c r="N27" s="20">
        <v>1900</v>
      </c>
      <c r="O27" s="20">
        <v>1950</v>
      </c>
      <c r="P27" s="20">
        <v>2000</v>
      </c>
      <c r="Q27" s="20">
        <v>2096</v>
      </c>
      <c r="R27" s="20"/>
      <c r="S27" s="39" t="s">
        <v>44</v>
      </c>
      <c r="T27" s="30">
        <v>0</v>
      </c>
      <c r="U27" s="30">
        <v>4093030.9523310838</v>
      </c>
      <c r="V27" s="30"/>
      <c r="W27" s="30"/>
      <c r="X27" s="30"/>
      <c r="Y27" s="30">
        <v>0</v>
      </c>
      <c r="Z27" s="30">
        <f t="shared" si="0"/>
        <v>4093030.9523310838</v>
      </c>
      <c r="AA27" s="42"/>
      <c r="AB27" s="39" t="s">
        <v>1054</v>
      </c>
      <c r="AC27" s="39"/>
      <c r="AD27" s="39"/>
      <c r="AE27" s="39"/>
      <c r="AF27" s="17"/>
      <c r="AG27" s="17"/>
      <c r="AH27" s="17">
        <v>1000000</v>
      </c>
    </row>
    <row r="28" spans="1:34" s="21" customFormat="1" ht="42.75">
      <c r="A28" s="51"/>
      <c r="B28" s="40"/>
      <c r="C28" s="42" t="s">
        <v>230</v>
      </c>
      <c r="D28" s="42" t="s">
        <v>240</v>
      </c>
      <c r="E28" s="42" t="s">
        <v>197</v>
      </c>
      <c r="F28" s="42" t="s">
        <v>248</v>
      </c>
      <c r="G28" s="42" t="s">
        <v>247</v>
      </c>
      <c r="H28" s="42" t="s">
        <v>609</v>
      </c>
      <c r="I28" s="39" t="s">
        <v>177</v>
      </c>
      <c r="J28" s="39" t="s">
        <v>792</v>
      </c>
      <c r="K28" s="30">
        <v>1498</v>
      </c>
      <c r="L28" s="30">
        <v>2055</v>
      </c>
      <c r="M28" s="39" t="s">
        <v>627</v>
      </c>
      <c r="N28" s="20">
        <v>2055</v>
      </c>
      <c r="O28" s="20">
        <v>2055</v>
      </c>
      <c r="P28" s="20">
        <v>2055</v>
      </c>
      <c r="Q28" s="20">
        <v>2055</v>
      </c>
      <c r="R28" s="20"/>
      <c r="S28" s="39" t="s">
        <v>44</v>
      </c>
      <c r="T28" s="30">
        <v>0</v>
      </c>
      <c r="U28" s="30">
        <f>3852276014.77937-194000000-244246698</f>
        <v>3414029316.7793698</v>
      </c>
      <c r="V28" s="39"/>
      <c r="W28" s="30"/>
      <c r="X28" s="30"/>
      <c r="Y28" s="30">
        <v>0</v>
      </c>
      <c r="Z28" s="30">
        <f t="shared" si="0"/>
        <v>3414029316.7793698</v>
      </c>
      <c r="AA28" s="42"/>
      <c r="AB28" s="39" t="s">
        <v>1055</v>
      </c>
      <c r="AC28" s="39"/>
      <c r="AD28" s="39"/>
      <c r="AE28" s="39"/>
      <c r="AF28" s="17"/>
      <c r="AG28" s="17"/>
      <c r="AH28" s="17">
        <v>945000000</v>
      </c>
    </row>
    <row r="29" spans="1:34" s="21" customFormat="1" ht="42.75">
      <c r="A29" s="51"/>
      <c r="B29" s="40"/>
      <c r="C29" s="42"/>
      <c r="D29" s="42"/>
      <c r="E29" s="42"/>
      <c r="F29" s="42"/>
      <c r="G29" s="42"/>
      <c r="H29" s="42"/>
      <c r="I29" s="42" t="s">
        <v>120</v>
      </c>
      <c r="J29" s="39" t="s">
        <v>793</v>
      </c>
      <c r="K29" s="30">
        <v>1308</v>
      </c>
      <c r="L29" s="30">
        <v>1308</v>
      </c>
      <c r="M29" s="39" t="s">
        <v>628</v>
      </c>
      <c r="N29" s="20">
        <v>1308</v>
      </c>
      <c r="O29" s="20">
        <v>1308</v>
      </c>
      <c r="P29" s="20">
        <v>1308</v>
      </c>
      <c r="Q29" s="20">
        <v>1308</v>
      </c>
      <c r="R29" s="20"/>
      <c r="S29" s="39" t="s">
        <v>44</v>
      </c>
      <c r="T29" s="58">
        <v>4554000000</v>
      </c>
      <c r="U29" s="58">
        <v>1446000000</v>
      </c>
      <c r="V29" s="42"/>
      <c r="W29" s="58"/>
      <c r="X29" s="58"/>
      <c r="Y29" s="58">
        <v>567929633</v>
      </c>
      <c r="Z29" s="58">
        <f t="shared" si="0"/>
        <v>6567929633</v>
      </c>
      <c r="AA29" s="42"/>
      <c r="AB29" s="14" t="s">
        <v>1056</v>
      </c>
      <c r="AC29" s="39"/>
      <c r="AD29" s="39"/>
      <c r="AE29" s="39"/>
      <c r="AF29" s="17"/>
      <c r="AG29" s="17"/>
      <c r="AH29" s="17">
        <v>1198461993</v>
      </c>
    </row>
    <row r="30" spans="1:34" s="21" customFormat="1" ht="28.5">
      <c r="A30" s="51"/>
      <c r="B30" s="40"/>
      <c r="C30" s="42"/>
      <c r="D30" s="42"/>
      <c r="E30" s="42"/>
      <c r="F30" s="42"/>
      <c r="G30" s="42"/>
      <c r="H30" s="42"/>
      <c r="I30" s="42"/>
      <c r="J30" s="39" t="s">
        <v>794</v>
      </c>
      <c r="K30" s="30">
        <v>10541</v>
      </c>
      <c r="L30" s="30">
        <v>11860</v>
      </c>
      <c r="M30" s="39" t="s">
        <v>627</v>
      </c>
      <c r="N30" s="20">
        <f>13168-1308</f>
        <v>11860</v>
      </c>
      <c r="O30" s="20">
        <f>13168-1308</f>
        <v>11860</v>
      </c>
      <c r="P30" s="20">
        <f>13168-1308</f>
        <v>11860</v>
      </c>
      <c r="Q30" s="20">
        <f>13168-1308</f>
        <v>11860</v>
      </c>
      <c r="R30" s="20"/>
      <c r="S30" s="39" t="s">
        <v>44</v>
      </c>
      <c r="T30" s="58"/>
      <c r="U30" s="58"/>
      <c r="V30" s="42"/>
      <c r="W30" s="58"/>
      <c r="X30" s="58"/>
      <c r="Y30" s="58"/>
      <c r="Z30" s="58">
        <f t="shared" si="0"/>
        <v>0</v>
      </c>
      <c r="AA30" s="42"/>
      <c r="AB30" s="14" t="s">
        <v>1057</v>
      </c>
      <c r="AC30" s="39"/>
      <c r="AD30" s="39"/>
      <c r="AE30" s="39"/>
      <c r="AF30" s="17"/>
      <c r="AG30" s="17"/>
      <c r="AH30" s="17">
        <v>354984537</v>
      </c>
    </row>
    <row r="31" spans="1:34" s="21" customFormat="1" ht="28.5">
      <c r="A31" s="51"/>
      <c r="B31" s="40"/>
      <c r="C31" s="42"/>
      <c r="D31" s="42"/>
      <c r="E31" s="42"/>
      <c r="F31" s="42"/>
      <c r="G31" s="42"/>
      <c r="H31" s="42"/>
      <c r="I31" s="42" t="s">
        <v>219</v>
      </c>
      <c r="J31" s="39" t="s">
        <v>795</v>
      </c>
      <c r="K31" s="34">
        <v>0</v>
      </c>
      <c r="L31" s="34">
        <v>0.05</v>
      </c>
      <c r="M31" s="39" t="s">
        <v>627</v>
      </c>
      <c r="N31" s="24">
        <v>0.02</v>
      </c>
      <c r="O31" s="24">
        <v>0.03</v>
      </c>
      <c r="P31" s="24">
        <v>0.04</v>
      </c>
      <c r="Q31" s="24">
        <v>0.05</v>
      </c>
      <c r="R31" s="24"/>
      <c r="S31" s="39" t="s">
        <v>44</v>
      </c>
      <c r="T31" s="30">
        <v>0</v>
      </c>
      <c r="U31" s="30">
        <v>12931914921.766251</v>
      </c>
      <c r="V31" s="39"/>
      <c r="W31" s="30"/>
      <c r="X31" s="30"/>
      <c r="Y31" s="30">
        <v>0</v>
      </c>
      <c r="Z31" s="30">
        <f t="shared" si="0"/>
        <v>12931914921.766251</v>
      </c>
      <c r="AA31" s="42"/>
      <c r="AB31" s="39" t="s">
        <v>1058</v>
      </c>
      <c r="AC31" s="39"/>
      <c r="AD31" s="39"/>
      <c r="AE31" s="39"/>
      <c r="AF31" s="17"/>
      <c r="AG31" s="17"/>
      <c r="AH31" s="17">
        <v>3249130880</v>
      </c>
    </row>
    <row r="32" spans="1:34" s="21" customFormat="1" ht="42.75">
      <c r="A32" s="51"/>
      <c r="B32" s="40"/>
      <c r="C32" s="42"/>
      <c r="D32" s="42"/>
      <c r="E32" s="42"/>
      <c r="F32" s="42"/>
      <c r="G32" s="42"/>
      <c r="H32" s="42"/>
      <c r="I32" s="42"/>
      <c r="J32" s="39" t="s">
        <v>796</v>
      </c>
      <c r="K32" s="30">
        <v>0</v>
      </c>
      <c r="L32" s="30">
        <v>27</v>
      </c>
      <c r="M32" s="39" t="s">
        <v>627</v>
      </c>
      <c r="N32" s="20">
        <v>27</v>
      </c>
      <c r="O32" s="20">
        <v>27</v>
      </c>
      <c r="P32" s="20">
        <v>27</v>
      </c>
      <c r="Q32" s="20">
        <v>27</v>
      </c>
      <c r="R32" s="20"/>
      <c r="S32" s="39" t="s">
        <v>44</v>
      </c>
      <c r="T32" s="30">
        <v>1080000000</v>
      </c>
      <c r="U32" s="34"/>
      <c r="V32" s="39"/>
      <c r="W32" s="30"/>
      <c r="X32" s="30"/>
      <c r="Y32" s="30">
        <v>0</v>
      </c>
      <c r="Z32" s="30">
        <f t="shared" si="0"/>
        <v>1080000000</v>
      </c>
      <c r="AA32" s="42"/>
      <c r="AB32" s="39" t="s">
        <v>1059</v>
      </c>
      <c r="AC32" s="39"/>
      <c r="AD32" s="39"/>
      <c r="AE32" s="39"/>
      <c r="AF32" s="17"/>
      <c r="AG32" s="17"/>
      <c r="AH32" s="17">
        <v>174800000</v>
      </c>
    </row>
    <row r="33" spans="1:34" s="21" customFormat="1" ht="42.75">
      <c r="A33" s="51"/>
      <c r="B33" s="40"/>
      <c r="C33" s="42" t="s">
        <v>127</v>
      </c>
      <c r="D33" s="42" t="s">
        <v>241</v>
      </c>
      <c r="E33" s="42" t="s">
        <v>196</v>
      </c>
      <c r="F33" s="56" t="s">
        <v>249</v>
      </c>
      <c r="G33" s="56" t="s">
        <v>250</v>
      </c>
      <c r="H33" s="42" t="s">
        <v>123</v>
      </c>
      <c r="I33" s="39" t="s">
        <v>101</v>
      </c>
      <c r="J33" s="39" t="s">
        <v>797</v>
      </c>
      <c r="K33" s="39">
        <v>0</v>
      </c>
      <c r="L33" s="20">
        <v>13885</v>
      </c>
      <c r="M33" s="39" t="s">
        <v>627</v>
      </c>
      <c r="N33" s="20">
        <v>7800</v>
      </c>
      <c r="O33" s="20">
        <v>13885</v>
      </c>
      <c r="P33" s="20">
        <v>13885</v>
      </c>
      <c r="Q33" s="20">
        <v>13885</v>
      </c>
      <c r="R33" s="20"/>
      <c r="S33" s="39" t="s">
        <v>44</v>
      </c>
      <c r="T33" s="30">
        <v>0</v>
      </c>
      <c r="U33" s="30">
        <v>400000000</v>
      </c>
      <c r="V33" s="39"/>
      <c r="W33" s="30"/>
      <c r="X33" s="30"/>
      <c r="Y33" s="30">
        <v>0</v>
      </c>
      <c r="Z33" s="30">
        <f t="shared" si="0"/>
        <v>400000000</v>
      </c>
      <c r="AA33" s="47" t="s">
        <v>343</v>
      </c>
      <c r="AB33" s="39" t="s">
        <v>1060</v>
      </c>
      <c r="AC33" s="39"/>
      <c r="AD33" s="39"/>
      <c r="AE33" s="39"/>
      <c r="AF33" s="17"/>
      <c r="AG33" s="17"/>
      <c r="AH33" s="17">
        <v>1000000</v>
      </c>
    </row>
    <row r="34" spans="1:34" s="21" customFormat="1" ht="57">
      <c r="A34" s="51"/>
      <c r="B34" s="40"/>
      <c r="C34" s="42"/>
      <c r="D34" s="42"/>
      <c r="E34" s="42"/>
      <c r="F34" s="56"/>
      <c r="G34" s="56"/>
      <c r="H34" s="42"/>
      <c r="I34" s="42" t="s">
        <v>100</v>
      </c>
      <c r="J34" s="39" t="s">
        <v>798</v>
      </c>
      <c r="K34" s="39">
        <v>0</v>
      </c>
      <c r="L34" s="39">
        <v>27</v>
      </c>
      <c r="M34" s="39" t="s">
        <v>627</v>
      </c>
      <c r="N34" s="20">
        <v>27</v>
      </c>
      <c r="O34" s="20">
        <v>27</v>
      </c>
      <c r="P34" s="20">
        <v>27</v>
      </c>
      <c r="Q34" s="20">
        <v>27</v>
      </c>
      <c r="R34" s="20"/>
      <c r="S34" s="39" t="s">
        <v>44</v>
      </c>
      <c r="T34" s="30">
        <v>0</v>
      </c>
      <c r="U34" s="30">
        <v>368372785.7097975</v>
      </c>
      <c r="V34" s="39"/>
      <c r="W34" s="30"/>
      <c r="X34" s="30"/>
      <c r="Y34" s="30">
        <v>0</v>
      </c>
      <c r="Z34" s="30">
        <f t="shared" si="0"/>
        <v>368372785.7097975</v>
      </c>
      <c r="AA34" s="48"/>
      <c r="AB34" s="39" t="s">
        <v>1061</v>
      </c>
      <c r="AC34" s="39"/>
      <c r="AD34" s="39"/>
      <c r="AE34" s="39"/>
      <c r="AF34" s="17"/>
      <c r="AG34" s="17"/>
      <c r="AH34" s="17">
        <v>1000000</v>
      </c>
    </row>
    <row r="35" spans="1:34" s="21" customFormat="1" ht="71.25">
      <c r="A35" s="51"/>
      <c r="B35" s="40"/>
      <c r="C35" s="42"/>
      <c r="D35" s="42"/>
      <c r="E35" s="42"/>
      <c r="F35" s="56"/>
      <c r="G35" s="56"/>
      <c r="H35" s="42"/>
      <c r="I35" s="42"/>
      <c r="J35" s="39" t="s">
        <v>200</v>
      </c>
      <c r="K35" s="39">
        <v>0</v>
      </c>
      <c r="L35" s="32">
        <v>0.25</v>
      </c>
      <c r="M35" s="39" t="s">
        <v>627</v>
      </c>
      <c r="N35" s="24">
        <v>0.05</v>
      </c>
      <c r="O35" s="24">
        <v>0.1</v>
      </c>
      <c r="P35" s="24">
        <v>0.15</v>
      </c>
      <c r="Q35" s="24">
        <v>0.25</v>
      </c>
      <c r="R35" s="24"/>
      <c r="S35" s="39" t="s">
        <v>44</v>
      </c>
      <c r="T35" s="30"/>
      <c r="U35" s="30"/>
      <c r="V35" s="39"/>
      <c r="W35" s="30"/>
      <c r="X35" s="30"/>
      <c r="Y35" s="30"/>
      <c r="Z35" s="30">
        <f t="shared" si="0"/>
        <v>0</v>
      </c>
      <c r="AA35" s="48"/>
      <c r="AB35" s="39" t="s">
        <v>1062</v>
      </c>
      <c r="AC35" s="39"/>
      <c r="AD35" s="39"/>
      <c r="AE35" s="39"/>
      <c r="AF35" s="17"/>
      <c r="AG35" s="17"/>
      <c r="AH35" s="17">
        <v>0</v>
      </c>
    </row>
    <row r="36" spans="1:34" s="21" customFormat="1" ht="42.75">
      <c r="A36" s="51"/>
      <c r="B36" s="40"/>
      <c r="C36" s="42"/>
      <c r="D36" s="42"/>
      <c r="E36" s="42"/>
      <c r="F36" s="56"/>
      <c r="G36" s="56"/>
      <c r="H36" s="42"/>
      <c r="I36" s="42"/>
      <c r="J36" s="39" t="s">
        <v>201</v>
      </c>
      <c r="K36" s="39">
        <v>0</v>
      </c>
      <c r="L36" s="32">
        <v>0.25</v>
      </c>
      <c r="M36" s="39" t="s">
        <v>627</v>
      </c>
      <c r="N36" s="24">
        <v>0.1</v>
      </c>
      <c r="O36" s="24">
        <v>0.15</v>
      </c>
      <c r="P36" s="24">
        <v>0.2</v>
      </c>
      <c r="Q36" s="24">
        <v>0.25</v>
      </c>
      <c r="R36" s="24"/>
      <c r="S36" s="39" t="s">
        <v>44</v>
      </c>
      <c r="T36" s="30"/>
      <c r="U36" s="30"/>
      <c r="V36" s="39"/>
      <c r="W36" s="30"/>
      <c r="X36" s="30"/>
      <c r="Y36" s="30"/>
      <c r="Z36" s="30">
        <f t="shared" si="0"/>
        <v>0</v>
      </c>
      <c r="AA36" s="48"/>
      <c r="AB36" s="39" t="s">
        <v>523</v>
      </c>
      <c r="AC36" s="39"/>
      <c r="AD36" s="39"/>
      <c r="AE36" s="39"/>
      <c r="AF36" s="17"/>
      <c r="AG36" s="17"/>
      <c r="AH36" s="17">
        <v>0</v>
      </c>
    </row>
    <row r="37" spans="1:34" s="21" customFormat="1" ht="42.75">
      <c r="A37" s="51"/>
      <c r="B37" s="40"/>
      <c r="C37" s="42"/>
      <c r="D37" s="42"/>
      <c r="E37" s="42"/>
      <c r="F37" s="56"/>
      <c r="G37" s="56"/>
      <c r="H37" s="42"/>
      <c r="I37" s="42"/>
      <c r="J37" s="39" t="s">
        <v>522</v>
      </c>
      <c r="K37" s="39">
        <v>0</v>
      </c>
      <c r="L37" s="32">
        <v>0.25</v>
      </c>
      <c r="M37" s="39" t="s">
        <v>627</v>
      </c>
      <c r="N37" s="24">
        <v>0.1</v>
      </c>
      <c r="O37" s="24">
        <v>0.15</v>
      </c>
      <c r="P37" s="24">
        <v>0.2</v>
      </c>
      <c r="Q37" s="24">
        <v>0.25</v>
      </c>
      <c r="R37" s="24"/>
      <c r="S37" s="39" t="s">
        <v>44</v>
      </c>
      <c r="T37" s="30"/>
      <c r="U37" s="30"/>
      <c r="V37" s="39"/>
      <c r="W37" s="30"/>
      <c r="X37" s="30"/>
      <c r="Y37" s="30"/>
      <c r="Z37" s="30">
        <f t="shared" si="0"/>
        <v>0</v>
      </c>
      <c r="AA37" s="48"/>
      <c r="AB37" s="39" t="s">
        <v>524</v>
      </c>
      <c r="AC37" s="39"/>
      <c r="AD37" s="39"/>
      <c r="AE37" s="39"/>
      <c r="AF37" s="17"/>
      <c r="AG37" s="17"/>
      <c r="AH37" s="17">
        <v>0</v>
      </c>
    </row>
    <row r="38" spans="1:34" s="21" customFormat="1" ht="42.75">
      <c r="A38" s="51"/>
      <c r="B38" s="40"/>
      <c r="C38" s="42"/>
      <c r="D38" s="42"/>
      <c r="E38" s="42"/>
      <c r="F38" s="56"/>
      <c r="G38" s="56"/>
      <c r="H38" s="42"/>
      <c r="I38" s="39" t="s">
        <v>122</v>
      </c>
      <c r="J38" s="39" t="s">
        <v>799</v>
      </c>
      <c r="K38" s="78">
        <v>4.9399999999999999E-2</v>
      </c>
      <c r="L38" s="32">
        <v>0.1</v>
      </c>
      <c r="M38" s="39" t="s">
        <v>627</v>
      </c>
      <c r="N38" s="32">
        <v>0.05</v>
      </c>
      <c r="O38" s="32">
        <v>0.06</v>
      </c>
      <c r="P38" s="32">
        <v>7.0000000000000007E-2</v>
      </c>
      <c r="Q38" s="32">
        <v>0.1</v>
      </c>
      <c r="R38" s="32"/>
      <c r="S38" s="39" t="s">
        <v>44</v>
      </c>
      <c r="T38" s="30">
        <v>0</v>
      </c>
      <c r="U38" s="30">
        <v>409303095.2331084</v>
      </c>
      <c r="V38" s="39"/>
      <c r="W38" s="30"/>
      <c r="X38" s="30"/>
      <c r="Y38" s="30">
        <v>0</v>
      </c>
      <c r="Z38" s="30">
        <f t="shared" si="0"/>
        <v>409303095.2331084</v>
      </c>
      <c r="AA38" s="48"/>
      <c r="AB38" s="39" t="s">
        <v>511</v>
      </c>
      <c r="AC38" s="39"/>
      <c r="AD38" s="39"/>
      <c r="AE38" s="39"/>
      <c r="AF38" s="17"/>
      <c r="AG38" s="17"/>
      <c r="AH38" s="17">
        <v>1000000</v>
      </c>
    </row>
    <row r="39" spans="1:34" s="21" customFormat="1" ht="28.5">
      <c r="A39" s="51"/>
      <c r="B39" s="40"/>
      <c r="C39" s="42"/>
      <c r="D39" s="42"/>
      <c r="E39" s="42"/>
      <c r="F39" s="56"/>
      <c r="G39" s="56"/>
      <c r="H39" s="42" t="s">
        <v>51</v>
      </c>
      <c r="I39" s="39" t="s">
        <v>800</v>
      </c>
      <c r="J39" s="39" t="s">
        <v>124</v>
      </c>
      <c r="K39" s="39">
        <v>72</v>
      </c>
      <c r="L39" s="39">
        <v>190</v>
      </c>
      <c r="M39" s="39" t="s">
        <v>627</v>
      </c>
      <c r="N39" s="20">
        <v>0</v>
      </c>
      <c r="O39" s="20">
        <v>190</v>
      </c>
      <c r="P39" s="20">
        <v>190</v>
      </c>
      <c r="Q39" s="20">
        <v>190</v>
      </c>
      <c r="R39" s="20"/>
      <c r="S39" s="39" t="s">
        <v>44</v>
      </c>
      <c r="T39" s="30">
        <v>0</v>
      </c>
      <c r="U39" s="30">
        <v>500000000</v>
      </c>
      <c r="V39" s="39"/>
      <c r="W39" s="30"/>
      <c r="X39" s="30"/>
      <c r="Y39" s="30">
        <v>0</v>
      </c>
      <c r="Z39" s="30">
        <f t="shared" si="0"/>
        <v>500000000</v>
      </c>
      <c r="AA39" s="48"/>
      <c r="AB39" s="39" t="s">
        <v>315</v>
      </c>
      <c r="AC39" s="39"/>
      <c r="AD39" s="39"/>
      <c r="AE39" s="39"/>
      <c r="AF39" s="17"/>
      <c r="AG39" s="17"/>
      <c r="AH39" s="17">
        <v>10000000</v>
      </c>
    </row>
    <row r="40" spans="1:34" s="21" customFormat="1" ht="28.5">
      <c r="A40" s="51"/>
      <c r="B40" s="40"/>
      <c r="C40" s="42"/>
      <c r="D40" s="42"/>
      <c r="E40" s="42"/>
      <c r="F40" s="56"/>
      <c r="G40" s="56"/>
      <c r="H40" s="42"/>
      <c r="I40" s="39" t="s">
        <v>801</v>
      </c>
      <c r="J40" s="39" t="s">
        <v>220</v>
      </c>
      <c r="K40" s="39">
        <v>0</v>
      </c>
      <c r="L40" s="39">
        <v>1</v>
      </c>
      <c r="M40" s="39" t="s">
        <v>627</v>
      </c>
      <c r="N40" s="20">
        <v>0</v>
      </c>
      <c r="O40" s="20">
        <v>1</v>
      </c>
      <c r="P40" s="20">
        <v>0</v>
      </c>
      <c r="Q40" s="20">
        <v>0</v>
      </c>
      <c r="R40" s="20"/>
      <c r="S40" s="39" t="s">
        <v>44</v>
      </c>
      <c r="T40" s="30">
        <v>0</v>
      </c>
      <c r="U40" s="30">
        <v>4093030.9523310838</v>
      </c>
      <c r="V40" s="39"/>
      <c r="W40" s="30"/>
      <c r="X40" s="30"/>
      <c r="Y40" s="30">
        <v>0</v>
      </c>
      <c r="Z40" s="30">
        <f t="shared" si="0"/>
        <v>4093030.9523310838</v>
      </c>
      <c r="AA40" s="48"/>
      <c r="AB40" s="39" t="s">
        <v>316</v>
      </c>
      <c r="AC40" s="39"/>
      <c r="AD40" s="39"/>
      <c r="AE40" s="39"/>
      <c r="AF40" s="17"/>
      <c r="AG40" s="17"/>
      <c r="AH40" s="17">
        <v>1000000</v>
      </c>
    </row>
    <row r="41" spans="1:34" s="21" customFormat="1" ht="28.5">
      <c r="A41" s="51"/>
      <c r="B41" s="40"/>
      <c r="C41" s="42"/>
      <c r="D41" s="42"/>
      <c r="E41" s="42"/>
      <c r="F41" s="56"/>
      <c r="G41" s="56"/>
      <c r="H41" s="42"/>
      <c r="I41" s="39" t="s">
        <v>802</v>
      </c>
      <c r="J41" s="39" t="s">
        <v>170</v>
      </c>
      <c r="K41" s="39">
        <v>0</v>
      </c>
      <c r="L41" s="39">
        <v>117</v>
      </c>
      <c r="M41" s="39" t="s">
        <v>627</v>
      </c>
      <c r="N41" s="20">
        <v>117</v>
      </c>
      <c r="O41" s="20">
        <v>117</v>
      </c>
      <c r="P41" s="20">
        <v>117</v>
      </c>
      <c r="Q41" s="20">
        <v>117</v>
      </c>
      <c r="R41" s="20"/>
      <c r="S41" s="39" t="s">
        <v>44</v>
      </c>
      <c r="T41" s="30">
        <v>0</v>
      </c>
      <c r="U41" s="30">
        <v>409303095.2331084</v>
      </c>
      <c r="V41" s="39"/>
      <c r="W41" s="30"/>
      <c r="X41" s="30"/>
      <c r="Y41" s="30">
        <v>0</v>
      </c>
      <c r="Z41" s="30">
        <f t="shared" si="0"/>
        <v>409303095.2331084</v>
      </c>
      <c r="AA41" s="48"/>
      <c r="AB41" s="39" t="s">
        <v>317</v>
      </c>
      <c r="AC41" s="39"/>
      <c r="AD41" s="39"/>
      <c r="AE41" s="39"/>
      <c r="AF41" s="17"/>
      <c r="AG41" s="17"/>
      <c r="AH41" s="17">
        <v>10000000</v>
      </c>
    </row>
    <row r="42" spans="1:34" s="21" customFormat="1" ht="28.5">
      <c r="A42" s="51"/>
      <c r="B42" s="40"/>
      <c r="C42" s="42"/>
      <c r="D42" s="42"/>
      <c r="E42" s="42"/>
      <c r="F42" s="56"/>
      <c r="G42" s="56"/>
      <c r="H42" s="42"/>
      <c r="I42" s="39" t="s">
        <v>803</v>
      </c>
      <c r="J42" s="39" t="s">
        <v>221</v>
      </c>
      <c r="K42" s="39">
        <v>0</v>
      </c>
      <c r="L42" s="39">
        <v>27</v>
      </c>
      <c r="M42" s="39" t="s">
        <v>627</v>
      </c>
      <c r="N42" s="20">
        <v>0</v>
      </c>
      <c r="O42" s="20">
        <v>27</v>
      </c>
      <c r="P42" s="20">
        <v>27</v>
      </c>
      <c r="Q42" s="20">
        <v>27</v>
      </c>
      <c r="R42" s="20"/>
      <c r="S42" s="39" t="s">
        <v>44</v>
      </c>
      <c r="T42" s="30">
        <v>994606521.41645336</v>
      </c>
      <c r="U42" s="30">
        <v>0</v>
      </c>
      <c r="V42" s="39"/>
      <c r="W42" s="30"/>
      <c r="X42" s="30"/>
      <c r="Y42" s="30">
        <v>0</v>
      </c>
      <c r="Z42" s="30">
        <f t="shared" si="0"/>
        <v>994606521.41645336</v>
      </c>
      <c r="AA42" s="48"/>
      <c r="AB42" s="39" t="s">
        <v>318</v>
      </c>
      <c r="AC42" s="39"/>
      <c r="AD42" s="39"/>
      <c r="AE42" s="39"/>
      <c r="AF42" s="17"/>
      <c r="AG42" s="17"/>
      <c r="AH42" s="17">
        <v>10000000</v>
      </c>
    </row>
    <row r="43" spans="1:34" s="21" customFormat="1" ht="28.5">
      <c r="A43" s="51"/>
      <c r="B43" s="40"/>
      <c r="C43" s="42"/>
      <c r="D43" s="42"/>
      <c r="E43" s="42"/>
      <c r="F43" s="56"/>
      <c r="G43" s="56"/>
      <c r="H43" s="42"/>
      <c r="I43" s="42" t="s">
        <v>804</v>
      </c>
      <c r="J43" s="39" t="s">
        <v>202</v>
      </c>
      <c r="K43" s="39">
        <v>0</v>
      </c>
      <c r="L43" s="39">
        <v>1</v>
      </c>
      <c r="M43" s="39" t="s">
        <v>627</v>
      </c>
      <c r="N43" s="20">
        <v>0</v>
      </c>
      <c r="O43" s="20">
        <v>1</v>
      </c>
      <c r="P43" s="20">
        <v>0</v>
      </c>
      <c r="Q43" s="20">
        <v>0</v>
      </c>
      <c r="R43" s="20"/>
      <c r="S43" s="39" t="s">
        <v>44</v>
      </c>
      <c r="T43" s="30">
        <v>0</v>
      </c>
      <c r="U43" s="30">
        <v>512558351.1891048</v>
      </c>
      <c r="V43" s="39"/>
      <c r="W43" s="30"/>
      <c r="X43" s="30"/>
      <c r="Y43" s="30">
        <v>0</v>
      </c>
      <c r="Z43" s="30">
        <f t="shared" si="0"/>
        <v>512558351.1891048</v>
      </c>
      <c r="AA43" s="48"/>
      <c r="AB43" s="39" t="s">
        <v>319</v>
      </c>
      <c r="AC43" s="39"/>
      <c r="AD43" s="39"/>
      <c r="AE43" s="39"/>
      <c r="AF43" s="17"/>
      <c r="AG43" s="17"/>
      <c r="AH43" s="17">
        <v>100000000</v>
      </c>
    </row>
    <row r="44" spans="1:34" s="21" customFormat="1">
      <c r="A44" s="51"/>
      <c r="B44" s="40"/>
      <c r="C44" s="42"/>
      <c r="D44" s="42"/>
      <c r="E44" s="42"/>
      <c r="F44" s="56"/>
      <c r="G44" s="56"/>
      <c r="H44" s="42"/>
      <c r="I44" s="42"/>
      <c r="J44" s="39" t="s">
        <v>128</v>
      </c>
      <c r="K44" s="39">
        <v>0</v>
      </c>
      <c r="L44" s="39">
        <v>1</v>
      </c>
      <c r="M44" s="39" t="s">
        <v>627</v>
      </c>
      <c r="N44" s="20">
        <v>0</v>
      </c>
      <c r="O44" s="20">
        <v>1</v>
      </c>
      <c r="P44" s="20">
        <v>0</v>
      </c>
      <c r="Q44" s="20">
        <v>0</v>
      </c>
      <c r="R44" s="20"/>
      <c r="S44" s="39" t="s">
        <v>44</v>
      </c>
      <c r="T44" s="30">
        <v>0</v>
      </c>
      <c r="U44" s="30">
        <v>4093030.9523310838</v>
      </c>
      <c r="V44" s="39"/>
      <c r="W44" s="30"/>
      <c r="X44" s="30"/>
      <c r="Y44" s="30">
        <v>0</v>
      </c>
      <c r="Z44" s="30">
        <f t="shared" si="0"/>
        <v>4093030.9523310838</v>
      </c>
      <c r="AA44" s="48"/>
      <c r="AB44" s="27" t="s">
        <v>510</v>
      </c>
      <c r="AC44" s="39"/>
      <c r="AD44" s="39"/>
      <c r="AE44" s="39"/>
      <c r="AF44" s="17"/>
      <c r="AG44" s="17"/>
      <c r="AH44" s="17">
        <v>50000000</v>
      </c>
    </row>
    <row r="45" spans="1:34" s="21" customFormat="1" ht="28.5">
      <c r="A45" s="51"/>
      <c r="B45" s="40"/>
      <c r="C45" s="42"/>
      <c r="D45" s="42"/>
      <c r="E45" s="42"/>
      <c r="F45" s="56"/>
      <c r="G45" s="56"/>
      <c r="H45" s="42"/>
      <c r="I45" s="39" t="s">
        <v>805</v>
      </c>
      <c r="J45" s="39" t="s">
        <v>125</v>
      </c>
      <c r="K45" s="39">
        <v>1</v>
      </c>
      <c r="L45" s="39">
        <v>4</v>
      </c>
      <c r="M45" s="39" t="s">
        <v>627</v>
      </c>
      <c r="N45" s="20">
        <v>1</v>
      </c>
      <c r="O45" s="20">
        <v>2</v>
      </c>
      <c r="P45" s="20">
        <v>3</v>
      </c>
      <c r="Q45" s="20">
        <v>4</v>
      </c>
      <c r="R45" s="20"/>
      <c r="S45" s="39" t="s">
        <v>44</v>
      </c>
      <c r="T45" s="30">
        <v>0</v>
      </c>
      <c r="U45" s="30">
        <v>20465154.76165542</v>
      </c>
      <c r="V45" s="39"/>
      <c r="W45" s="30"/>
      <c r="X45" s="30"/>
      <c r="Y45" s="30">
        <v>0</v>
      </c>
      <c r="Z45" s="30">
        <f t="shared" si="0"/>
        <v>20465154.76165542</v>
      </c>
      <c r="AA45" s="48"/>
      <c r="AB45" s="39" t="s">
        <v>320</v>
      </c>
      <c r="AC45" s="39"/>
      <c r="AD45" s="39"/>
      <c r="AE45" s="39"/>
      <c r="AF45" s="17"/>
      <c r="AG45" s="17"/>
      <c r="AH45" s="17">
        <v>1000000</v>
      </c>
    </row>
    <row r="46" spans="1:34" s="21" customFormat="1" ht="28.5">
      <c r="A46" s="51"/>
      <c r="B46" s="40"/>
      <c r="C46" s="42"/>
      <c r="D46" s="42"/>
      <c r="E46" s="42"/>
      <c r="F46" s="56"/>
      <c r="G46" s="56"/>
      <c r="H46" s="42"/>
      <c r="I46" s="42" t="s">
        <v>806</v>
      </c>
      <c r="J46" s="39" t="s">
        <v>203</v>
      </c>
      <c r="K46" s="39">
        <v>22</v>
      </c>
      <c r="L46" s="39">
        <v>27</v>
      </c>
      <c r="M46" s="39" t="s">
        <v>627</v>
      </c>
      <c r="N46" s="20">
        <v>0</v>
      </c>
      <c r="O46" s="20">
        <v>24</v>
      </c>
      <c r="P46" s="20">
        <v>27</v>
      </c>
      <c r="Q46" s="20">
        <v>27</v>
      </c>
      <c r="R46" s="20"/>
      <c r="S46" s="39" t="s">
        <v>44</v>
      </c>
      <c r="T46" s="58">
        <v>0</v>
      </c>
      <c r="U46" s="58">
        <v>20484268</v>
      </c>
      <c r="V46" s="42"/>
      <c r="W46" s="58"/>
      <c r="X46" s="58"/>
      <c r="Y46" s="58">
        <v>0</v>
      </c>
      <c r="Z46" s="58">
        <f t="shared" si="0"/>
        <v>20484268</v>
      </c>
      <c r="AA46" s="48"/>
      <c r="AB46" s="39" t="s">
        <v>512</v>
      </c>
      <c r="AC46" s="39"/>
      <c r="AD46" s="39"/>
      <c r="AE46" s="39"/>
      <c r="AF46" s="99"/>
      <c r="AG46" s="99"/>
      <c r="AH46" s="17">
        <v>1000000</v>
      </c>
    </row>
    <row r="47" spans="1:34" s="21" customFormat="1" ht="28.5">
      <c r="A47" s="51"/>
      <c r="B47" s="40"/>
      <c r="C47" s="42"/>
      <c r="D47" s="42"/>
      <c r="E47" s="42"/>
      <c r="F47" s="56"/>
      <c r="G47" s="56"/>
      <c r="H47" s="42"/>
      <c r="I47" s="42"/>
      <c r="J47" s="39" t="s">
        <v>121</v>
      </c>
      <c r="K47" s="39">
        <v>14</v>
      </c>
      <c r="L47" s="39">
        <v>20</v>
      </c>
      <c r="M47" s="39" t="s">
        <v>627</v>
      </c>
      <c r="N47" s="20">
        <v>0</v>
      </c>
      <c r="O47" s="20">
        <v>17</v>
      </c>
      <c r="P47" s="20">
        <v>18</v>
      </c>
      <c r="Q47" s="20">
        <v>20</v>
      </c>
      <c r="R47" s="20"/>
      <c r="S47" s="39" t="s">
        <v>44</v>
      </c>
      <c r="T47" s="58"/>
      <c r="U47" s="58"/>
      <c r="V47" s="42"/>
      <c r="W47" s="58"/>
      <c r="X47" s="58"/>
      <c r="Y47" s="58"/>
      <c r="Z47" s="58">
        <f t="shared" si="0"/>
        <v>0</v>
      </c>
      <c r="AA47" s="49"/>
      <c r="AB47" s="39" t="s">
        <v>513</v>
      </c>
      <c r="AC47" s="39"/>
      <c r="AD47" s="39"/>
      <c r="AE47" s="39"/>
      <c r="AF47" s="99"/>
      <c r="AG47" s="99"/>
      <c r="AH47" s="17">
        <v>1000000</v>
      </c>
    </row>
    <row r="48" spans="1:34" ht="156.75">
      <c r="A48" s="51"/>
      <c r="B48" s="40" t="s">
        <v>2</v>
      </c>
      <c r="C48" s="42" t="s">
        <v>79</v>
      </c>
      <c r="D48" s="42" t="s">
        <v>130</v>
      </c>
      <c r="E48" s="42" t="s">
        <v>67</v>
      </c>
      <c r="F48" s="43" t="s">
        <v>251</v>
      </c>
      <c r="G48" s="42" t="s">
        <v>252</v>
      </c>
      <c r="H48" s="42" t="s">
        <v>642</v>
      </c>
      <c r="I48" s="43" t="s">
        <v>654</v>
      </c>
      <c r="J48" s="14" t="s">
        <v>807</v>
      </c>
      <c r="K48" s="32">
        <v>0.8</v>
      </c>
      <c r="L48" s="32">
        <v>0.95</v>
      </c>
      <c r="M48" s="39" t="s">
        <v>627</v>
      </c>
      <c r="N48" s="32">
        <v>0.85</v>
      </c>
      <c r="O48" s="32">
        <v>0.9</v>
      </c>
      <c r="P48" s="32">
        <v>0.95</v>
      </c>
      <c r="Q48" s="32">
        <v>0.95</v>
      </c>
      <c r="R48" s="79">
        <v>0.85</v>
      </c>
      <c r="S48" s="39" t="s">
        <v>45</v>
      </c>
      <c r="T48" s="41"/>
      <c r="U48" s="41">
        <v>1664170513</v>
      </c>
      <c r="V48" s="41"/>
      <c r="W48" s="41"/>
      <c r="X48" s="41"/>
      <c r="Y48" s="41"/>
      <c r="Z48" s="41">
        <f t="shared" si="0"/>
        <v>1664170513</v>
      </c>
      <c r="AA48" s="47" t="s">
        <v>349</v>
      </c>
      <c r="AB48" s="39" t="s">
        <v>554</v>
      </c>
      <c r="AC48" s="80" t="s">
        <v>1127</v>
      </c>
      <c r="AD48" s="80" t="s">
        <v>1128</v>
      </c>
      <c r="AE48" s="81" t="s">
        <v>1129</v>
      </c>
      <c r="AF48" s="17">
        <f>50000000+50000000+40000000+35000000+35000000+25000000+177926+514741+190000000+80000000+60000000+16200000+80000000+48000000+53500000+251427042+24998019+142829+8692033+24174216+3150053+144294083</f>
        <v>1220270942</v>
      </c>
      <c r="AG48" s="17">
        <f>40000000+35000000+35000000+25000000+177926+514741+190000000+80000000+16200000+40000000+48000000+53500000+185102150+958238</f>
        <v>749453055</v>
      </c>
      <c r="AH48" s="17">
        <v>971709560</v>
      </c>
    </row>
    <row r="49" spans="1:34" ht="114">
      <c r="A49" s="51"/>
      <c r="B49" s="40"/>
      <c r="C49" s="42"/>
      <c r="D49" s="42"/>
      <c r="E49" s="42"/>
      <c r="F49" s="43"/>
      <c r="G49" s="42"/>
      <c r="H49" s="42"/>
      <c r="I49" s="43"/>
      <c r="J49" s="39" t="s">
        <v>808</v>
      </c>
      <c r="K49" s="32">
        <v>0.8</v>
      </c>
      <c r="L49" s="32">
        <v>0.95</v>
      </c>
      <c r="M49" s="39" t="s">
        <v>627</v>
      </c>
      <c r="N49" s="32">
        <v>0.85</v>
      </c>
      <c r="O49" s="32">
        <v>0.9</v>
      </c>
      <c r="P49" s="32">
        <v>0.95</v>
      </c>
      <c r="Q49" s="32">
        <v>0.95</v>
      </c>
      <c r="R49" s="79">
        <v>0.2</v>
      </c>
      <c r="S49" s="39" t="s">
        <v>45</v>
      </c>
      <c r="T49" s="41"/>
      <c r="U49" s="41"/>
      <c r="V49" s="41"/>
      <c r="W49" s="41"/>
      <c r="X49" s="41"/>
      <c r="Y49" s="41"/>
      <c r="Z49" s="41">
        <f t="shared" si="0"/>
        <v>0</v>
      </c>
      <c r="AA49" s="48"/>
      <c r="AB49" s="39" t="s">
        <v>350</v>
      </c>
      <c r="AC49" s="80" t="s">
        <v>1130</v>
      </c>
      <c r="AD49" s="80" t="s">
        <v>1131</v>
      </c>
      <c r="AE49" s="81" t="s">
        <v>1132</v>
      </c>
      <c r="AF49" s="17">
        <f>114000000</f>
        <v>114000000</v>
      </c>
      <c r="AG49" s="17">
        <f>28750000</f>
        <v>28750000</v>
      </c>
      <c r="AH49" s="17">
        <v>223300000</v>
      </c>
    </row>
    <row r="50" spans="1:34" ht="171">
      <c r="A50" s="51"/>
      <c r="B50" s="40"/>
      <c r="C50" s="42"/>
      <c r="D50" s="42"/>
      <c r="E50" s="42"/>
      <c r="F50" s="43"/>
      <c r="G50" s="42"/>
      <c r="H50" s="42" t="s">
        <v>643</v>
      </c>
      <c r="I50" s="42" t="s">
        <v>646</v>
      </c>
      <c r="J50" s="39" t="s">
        <v>809</v>
      </c>
      <c r="K50" s="32">
        <v>0.9</v>
      </c>
      <c r="L50" s="32">
        <v>0.96</v>
      </c>
      <c r="M50" s="39" t="s">
        <v>627</v>
      </c>
      <c r="N50" s="34">
        <v>0.9</v>
      </c>
      <c r="O50" s="34">
        <v>0.92</v>
      </c>
      <c r="P50" s="34">
        <v>0.94</v>
      </c>
      <c r="Q50" s="34">
        <v>0.96</v>
      </c>
      <c r="R50" s="82" t="s">
        <v>1187</v>
      </c>
      <c r="S50" s="39" t="s">
        <v>45</v>
      </c>
      <c r="T50" s="41"/>
      <c r="U50" s="41">
        <v>1664170513</v>
      </c>
      <c r="V50" s="41"/>
      <c r="W50" s="41"/>
      <c r="X50" s="41"/>
      <c r="Y50" s="41"/>
      <c r="Z50" s="41">
        <f t="shared" si="0"/>
        <v>1664170513</v>
      </c>
      <c r="AA50" s="48"/>
      <c r="AB50" s="39" t="s">
        <v>568</v>
      </c>
      <c r="AC50" s="80" t="s">
        <v>1133</v>
      </c>
      <c r="AD50" s="80" t="s">
        <v>1134</v>
      </c>
      <c r="AE50" s="81" t="s">
        <v>1135</v>
      </c>
      <c r="AF50" s="99">
        <f>1500000</f>
        <v>1500000</v>
      </c>
      <c r="AG50" s="99">
        <f>1500000</f>
        <v>1500000</v>
      </c>
      <c r="AH50" s="17">
        <v>84100000</v>
      </c>
    </row>
    <row r="51" spans="1:34" ht="156.75">
      <c r="A51" s="51"/>
      <c r="B51" s="40"/>
      <c r="C51" s="42"/>
      <c r="D51" s="42"/>
      <c r="E51" s="42"/>
      <c r="F51" s="43"/>
      <c r="G51" s="42"/>
      <c r="H51" s="42"/>
      <c r="I51" s="42"/>
      <c r="J51" s="39" t="s">
        <v>810</v>
      </c>
      <c r="K51" s="32">
        <v>0.9</v>
      </c>
      <c r="L51" s="32">
        <v>0.96</v>
      </c>
      <c r="M51" s="39" t="s">
        <v>627</v>
      </c>
      <c r="N51" s="34">
        <v>0.9</v>
      </c>
      <c r="O51" s="34">
        <v>0.92</v>
      </c>
      <c r="P51" s="34">
        <v>0.94</v>
      </c>
      <c r="Q51" s="34">
        <v>0.96</v>
      </c>
      <c r="R51" s="82">
        <v>0.95</v>
      </c>
      <c r="S51" s="39" t="s">
        <v>45</v>
      </c>
      <c r="T51" s="41"/>
      <c r="U51" s="41"/>
      <c r="V51" s="41"/>
      <c r="W51" s="41"/>
      <c r="X51" s="41"/>
      <c r="Y51" s="41"/>
      <c r="Z51" s="41">
        <f t="shared" si="0"/>
        <v>0</v>
      </c>
      <c r="AA51" s="48"/>
      <c r="AB51" s="39" t="s">
        <v>351</v>
      </c>
      <c r="AC51" s="80" t="s">
        <v>1136</v>
      </c>
      <c r="AD51" s="80" t="s">
        <v>1137</v>
      </c>
      <c r="AE51" s="81" t="s">
        <v>1138</v>
      </c>
      <c r="AF51" s="99">
        <f>33600000+33400000</f>
        <v>67000000</v>
      </c>
      <c r="AG51" s="99">
        <f>33600000+33400000</f>
        <v>67000000</v>
      </c>
      <c r="AH51" s="17">
        <v>48000000</v>
      </c>
    </row>
    <row r="52" spans="1:34" ht="142.5">
      <c r="A52" s="51"/>
      <c r="B52" s="40"/>
      <c r="C52" s="42"/>
      <c r="D52" s="42"/>
      <c r="E52" s="42"/>
      <c r="F52" s="43"/>
      <c r="G52" s="42"/>
      <c r="H52" s="42"/>
      <c r="I52" s="42"/>
      <c r="J52" s="39" t="s">
        <v>811</v>
      </c>
      <c r="K52" s="32">
        <v>0.9</v>
      </c>
      <c r="L52" s="32">
        <v>0.96</v>
      </c>
      <c r="M52" s="39" t="s">
        <v>627</v>
      </c>
      <c r="N52" s="34">
        <v>0.9</v>
      </c>
      <c r="O52" s="34">
        <v>0.92</v>
      </c>
      <c r="P52" s="34">
        <v>0.94</v>
      </c>
      <c r="Q52" s="34">
        <v>0.96</v>
      </c>
      <c r="R52" s="82">
        <v>0.95</v>
      </c>
      <c r="S52" s="39" t="s">
        <v>45</v>
      </c>
      <c r="T52" s="41"/>
      <c r="U52" s="41"/>
      <c r="V52" s="41"/>
      <c r="W52" s="41"/>
      <c r="X52" s="41"/>
      <c r="Y52" s="41"/>
      <c r="Z52" s="41">
        <f t="shared" si="0"/>
        <v>0</v>
      </c>
      <c r="AA52" s="48"/>
      <c r="AB52" s="39" t="s">
        <v>352</v>
      </c>
      <c r="AC52" s="80" t="s">
        <v>1139</v>
      </c>
      <c r="AD52" s="80" t="s">
        <v>1140</v>
      </c>
      <c r="AE52" s="81" t="s">
        <v>1141</v>
      </c>
      <c r="AF52" s="99">
        <f>1500000</f>
        <v>1500000</v>
      </c>
      <c r="AG52" s="99">
        <f>1500000</f>
        <v>1500000</v>
      </c>
      <c r="AH52" s="17">
        <v>20000000</v>
      </c>
    </row>
    <row r="53" spans="1:34" ht="171">
      <c r="A53" s="51"/>
      <c r="B53" s="40"/>
      <c r="C53" s="42"/>
      <c r="D53" s="42"/>
      <c r="E53" s="42"/>
      <c r="F53" s="43"/>
      <c r="G53" s="42"/>
      <c r="H53" s="42" t="s">
        <v>644</v>
      </c>
      <c r="I53" s="39" t="s">
        <v>647</v>
      </c>
      <c r="J53" s="39" t="s">
        <v>812</v>
      </c>
      <c r="K53" s="32">
        <v>0.75</v>
      </c>
      <c r="L53" s="32">
        <v>0.95</v>
      </c>
      <c r="M53" s="39" t="s">
        <v>627</v>
      </c>
      <c r="N53" s="34">
        <v>0.78</v>
      </c>
      <c r="O53" s="34">
        <v>0.85</v>
      </c>
      <c r="P53" s="34">
        <v>0.9</v>
      </c>
      <c r="Q53" s="34">
        <v>0.95</v>
      </c>
      <c r="R53" s="83">
        <v>0.78600000000000003</v>
      </c>
      <c r="S53" s="39" t="s">
        <v>45</v>
      </c>
      <c r="T53" s="41"/>
      <c r="U53" s="41">
        <v>1664170513</v>
      </c>
      <c r="V53" s="41"/>
      <c r="W53" s="41"/>
      <c r="X53" s="41"/>
      <c r="Y53" s="41"/>
      <c r="Z53" s="41">
        <f t="shared" si="0"/>
        <v>1664170513</v>
      </c>
      <c r="AA53" s="48"/>
      <c r="AB53" s="39" t="s">
        <v>348</v>
      </c>
      <c r="AC53" s="80" t="s">
        <v>1142</v>
      </c>
      <c r="AD53" s="80" t="s">
        <v>1143</v>
      </c>
      <c r="AE53" s="81" t="s">
        <v>1144</v>
      </c>
      <c r="AF53" s="99">
        <f>70000000</f>
        <v>70000000</v>
      </c>
      <c r="AG53" s="99">
        <f>70000000</f>
        <v>70000000</v>
      </c>
      <c r="AH53" s="17">
        <v>87700000</v>
      </c>
    </row>
    <row r="54" spans="1:34" ht="114">
      <c r="A54" s="51"/>
      <c r="B54" s="40"/>
      <c r="C54" s="42"/>
      <c r="D54" s="42"/>
      <c r="E54" s="42"/>
      <c r="F54" s="43"/>
      <c r="G54" s="42"/>
      <c r="H54" s="42"/>
      <c r="I54" s="39" t="s">
        <v>648</v>
      </c>
      <c r="J54" s="39" t="s">
        <v>813</v>
      </c>
      <c r="K54" s="32">
        <v>0.8</v>
      </c>
      <c r="L54" s="34">
        <v>0.9</v>
      </c>
      <c r="M54" s="39" t="s">
        <v>627</v>
      </c>
      <c r="N54" s="32">
        <v>0.8</v>
      </c>
      <c r="O54" s="34">
        <v>0.85</v>
      </c>
      <c r="P54" s="34">
        <v>0.9</v>
      </c>
      <c r="Q54" s="34">
        <v>0.9</v>
      </c>
      <c r="R54" s="82">
        <v>0.83</v>
      </c>
      <c r="S54" s="39" t="s">
        <v>45</v>
      </c>
      <c r="T54" s="41"/>
      <c r="U54" s="41"/>
      <c r="V54" s="41"/>
      <c r="W54" s="41"/>
      <c r="X54" s="41"/>
      <c r="Y54" s="41"/>
      <c r="Z54" s="41">
        <f t="shared" si="0"/>
        <v>0</v>
      </c>
      <c r="AA54" s="48"/>
      <c r="AB54" s="39" t="s">
        <v>353</v>
      </c>
      <c r="AC54" s="80" t="s">
        <v>1145</v>
      </c>
      <c r="AD54" s="80" t="s">
        <v>1146</v>
      </c>
      <c r="AE54" s="81" t="s">
        <v>1147</v>
      </c>
      <c r="AF54" s="99">
        <f>50000000</f>
        <v>50000000</v>
      </c>
      <c r="AG54" s="99">
        <v>50000000</v>
      </c>
      <c r="AH54" s="17">
        <v>23000000</v>
      </c>
    </row>
    <row r="55" spans="1:34" ht="142.5">
      <c r="A55" s="51"/>
      <c r="B55" s="40"/>
      <c r="C55" s="42"/>
      <c r="D55" s="42"/>
      <c r="E55" s="42"/>
      <c r="F55" s="43"/>
      <c r="G55" s="42"/>
      <c r="H55" s="42"/>
      <c r="I55" s="39" t="s">
        <v>649</v>
      </c>
      <c r="J55" s="39" t="s">
        <v>814</v>
      </c>
      <c r="K55" s="28">
        <v>0.2079</v>
      </c>
      <c r="L55" s="28">
        <f>+K55-2.7%</f>
        <v>0.18090000000000001</v>
      </c>
      <c r="M55" s="39" t="s">
        <v>629</v>
      </c>
      <c r="N55" s="28">
        <v>0.2</v>
      </c>
      <c r="O55" s="28">
        <v>0.19500000000000001</v>
      </c>
      <c r="P55" s="28">
        <v>0.19</v>
      </c>
      <c r="Q55" s="28">
        <v>0.18090000000000001</v>
      </c>
      <c r="R55" s="84">
        <v>0.08</v>
      </c>
      <c r="S55" s="39" t="s">
        <v>45</v>
      </c>
      <c r="T55" s="41"/>
      <c r="U55" s="41"/>
      <c r="V55" s="41"/>
      <c r="W55" s="41"/>
      <c r="X55" s="41"/>
      <c r="Y55" s="41"/>
      <c r="Z55" s="41">
        <f t="shared" si="0"/>
        <v>0</v>
      </c>
      <c r="AA55" s="48"/>
      <c r="AB55" s="39" t="s">
        <v>354</v>
      </c>
      <c r="AC55" s="80" t="s">
        <v>1148</v>
      </c>
      <c r="AD55" s="80" t="s">
        <v>1149</v>
      </c>
      <c r="AE55" s="81" t="s">
        <v>1150</v>
      </c>
      <c r="AF55" s="17">
        <f>35000000</f>
        <v>35000000</v>
      </c>
      <c r="AG55" s="17">
        <f>35000000</f>
        <v>35000000</v>
      </c>
      <c r="AH55" s="17">
        <v>81502586</v>
      </c>
    </row>
    <row r="56" spans="1:34" ht="199.5">
      <c r="A56" s="51"/>
      <c r="B56" s="40"/>
      <c r="C56" s="42"/>
      <c r="D56" s="42"/>
      <c r="E56" s="42"/>
      <c r="F56" s="43"/>
      <c r="G56" s="42"/>
      <c r="H56" s="42"/>
      <c r="I56" s="39" t="s">
        <v>650</v>
      </c>
      <c r="J56" s="39" t="s">
        <v>815</v>
      </c>
      <c r="K56" s="32">
        <v>0.8</v>
      </c>
      <c r="L56" s="34">
        <v>0.9</v>
      </c>
      <c r="M56" s="39" t="s">
        <v>627</v>
      </c>
      <c r="N56" s="32">
        <v>0.8</v>
      </c>
      <c r="O56" s="34">
        <v>0.85</v>
      </c>
      <c r="P56" s="34">
        <v>0.9</v>
      </c>
      <c r="Q56" s="34">
        <v>0.9</v>
      </c>
      <c r="R56" s="82">
        <v>0.82</v>
      </c>
      <c r="S56" s="39" t="s">
        <v>45</v>
      </c>
      <c r="T56" s="41"/>
      <c r="U56" s="41"/>
      <c r="V56" s="41"/>
      <c r="W56" s="41"/>
      <c r="X56" s="41"/>
      <c r="Y56" s="41"/>
      <c r="Z56" s="41">
        <f t="shared" si="0"/>
        <v>0</v>
      </c>
      <c r="AA56" s="48"/>
      <c r="AB56" s="39" t="s">
        <v>355</v>
      </c>
      <c r="AC56" s="80" t="s">
        <v>1151</v>
      </c>
      <c r="AD56" s="80" t="s">
        <v>1152</v>
      </c>
      <c r="AE56" s="81" t="s">
        <v>1153</v>
      </c>
      <c r="AF56" s="99">
        <f>35000000</f>
        <v>35000000</v>
      </c>
      <c r="AG56" s="99">
        <f>35000000</f>
        <v>35000000</v>
      </c>
      <c r="AH56" s="17">
        <v>23000000</v>
      </c>
    </row>
    <row r="57" spans="1:34" ht="142.5">
      <c r="A57" s="51"/>
      <c r="B57" s="40"/>
      <c r="C57" s="42"/>
      <c r="D57" s="42"/>
      <c r="E57" s="42"/>
      <c r="F57" s="43"/>
      <c r="G57" s="42"/>
      <c r="H57" s="42"/>
      <c r="I57" s="39" t="s">
        <v>651</v>
      </c>
      <c r="J57" s="39" t="s">
        <v>816</v>
      </c>
      <c r="K57" s="39">
        <v>2</v>
      </c>
      <c r="L57" s="39">
        <v>22</v>
      </c>
      <c r="M57" s="39" t="s">
        <v>627</v>
      </c>
      <c r="N57" s="39">
        <v>10</v>
      </c>
      <c r="O57" s="39">
        <v>15</v>
      </c>
      <c r="P57" s="39">
        <v>20</v>
      </c>
      <c r="Q57" s="39">
        <v>22</v>
      </c>
      <c r="R57" s="23">
        <v>5</v>
      </c>
      <c r="S57" s="39" t="s">
        <v>45</v>
      </c>
      <c r="T57" s="41"/>
      <c r="U57" s="41"/>
      <c r="V57" s="41"/>
      <c r="W57" s="41"/>
      <c r="X57" s="41"/>
      <c r="Y57" s="41"/>
      <c r="Z57" s="41">
        <f t="shared" si="0"/>
        <v>0</v>
      </c>
      <c r="AA57" s="48"/>
      <c r="AB57" s="39" t="s">
        <v>356</v>
      </c>
      <c r="AC57" s="80" t="s">
        <v>1154</v>
      </c>
      <c r="AD57" s="80" t="s">
        <v>1155</v>
      </c>
      <c r="AE57" s="81" t="s">
        <v>1156</v>
      </c>
      <c r="AF57" s="99">
        <f>90000000</f>
        <v>90000000</v>
      </c>
      <c r="AG57" s="99">
        <f>27272000</f>
        <v>27272000</v>
      </c>
      <c r="AH57" s="17">
        <v>42000000</v>
      </c>
    </row>
    <row r="58" spans="1:34" ht="228">
      <c r="A58" s="51"/>
      <c r="B58" s="40"/>
      <c r="C58" s="42"/>
      <c r="D58" s="42"/>
      <c r="E58" s="42"/>
      <c r="F58" s="43"/>
      <c r="G58" s="42"/>
      <c r="H58" s="42" t="s">
        <v>645</v>
      </c>
      <c r="I58" s="39" t="s">
        <v>652</v>
      </c>
      <c r="J58" s="39" t="s">
        <v>817</v>
      </c>
      <c r="K58" s="39">
        <v>0</v>
      </c>
      <c r="L58" s="39">
        <v>4</v>
      </c>
      <c r="M58" s="39" t="s">
        <v>627</v>
      </c>
      <c r="N58" s="39">
        <v>1</v>
      </c>
      <c r="O58" s="39">
        <v>2</v>
      </c>
      <c r="P58" s="39">
        <v>3</v>
      </c>
      <c r="Q58" s="39">
        <v>4</v>
      </c>
      <c r="R58" s="23">
        <v>1</v>
      </c>
      <c r="S58" s="39" t="s">
        <v>45</v>
      </c>
      <c r="T58" s="41"/>
      <c r="U58" s="41">
        <v>1664170514</v>
      </c>
      <c r="V58" s="41"/>
      <c r="W58" s="41"/>
      <c r="X58" s="41"/>
      <c r="Y58" s="41"/>
      <c r="Z58" s="41">
        <f t="shared" si="0"/>
        <v>1664170514</v>
      </c>
      <c r="AA58" s="48"/>
      <c r="AB58" s="39" t="s">
        <v>357</v>
      </c>
      <c r="AC58" s="80" t="s">
        <v>1157</v>
      </c>
      <c r="AD58" s="80" t="s">
        <v>1158</v>
      </c>
      <c r="AE58" s="81" t="s">
        <v>1159</v>
      </c>
      <c r="AF58" s="99">
        <f>40000000</f>
        <v>40000000</v>
      </c>
      <c r="AG58" s="99">
        <f>40000000</f>
        <v>40000000</v>
      </c>
      <c r="AH58" s="17">
        <v>23460000</v>
      </c>
    </row>
    <row r="59" spans="1:34" ht="213.75">
      <c r="A59" s="51"/>
      <c r="B59" s="40"/>
      <c r="C59" s="42"/>
      <c r="D59" s="42"/>
      <c r="E59" s="42"/>
      <c r="F59" s="43"/>
      <c r="G59" s="42"/>
      <c r="H59" s="42"/>
      <c r="I59" s="39" t="s">
        <v>653</v>
      </c>
      <c r="J59" s="39" t="s">
        <v>617</v>
      </c>
      <c r="K59" s="39">
        <v>0</v>
      </c>
      <c r="L59" s="39">
        <v>4</v>
      </c>
      <c r="M59" s="39" t="s">
        <v>627</v>
      </c>
      <c r="N59" s="39">
        <v>1</v>
      </c>
      <c r="O59" s="39">
        <v>2</v>
      </c>
      <c r="P59" s="39">
        <v>3</v>
      </c>
      <c r="Q59" s="39">
        <v>4</v>
      </c>
      <c r="R59" s="23">
        <v>1</v>
      </c>
      <c r="S59" s="39" t="s">
        <v>45</v>
      </c>
      <c r="T59" s="41"/>
      <c r="U59" s="41"/>
      <c r="V59" s="41"/>
      <c r="W59" s="41"/>
      <c r="X59" s="41"/>
      <c r="Y59" s="41"/>
      <c r="Z59" s="41">
        <f t="shared" si="0"/>
        <v>0</v>
      </c>
      <c r="AA59" s="49"/>
      <c r="AB59" s="39" t="s">
        <v>358</v>
      </c>
      <c r="AC59" s="80" t="s">
        <v>1160</v>
      </c>
      <c r="AD59" s="80" t="s">
        <v>1161</v>
      </c>
      <c r="AE59" s="81" t="s">
        <v>1162</v>
      </c>
      <c r="AF59" s="99"/>
      <c r="AG59" s="99"/>
      <c r="AH59" s="17">
        <v>38340000</v>
      </c>
    </row>
    <row r="60" spans="1:34" ht="185.25">
      <c r="A60" s="51"/>
      <c r="B60" s="40"/>
      <c r="C60" s="42" t="s">
        <v>572</v>
      </c>
      <c r="D60" s="42" t="s">
        <v>581</v>
      </c>
      <c r="E60" s="42" t="s">
        <v>68</v>
      </c>
      <c r="F60" s="43" t="s">
        <v>80</v>
      </c>
      <c r="G60" s="42" t="s">
        <v>69</v>
      </c>
      <c r="H60" s="42" t="s">
        <v>655</v>
      </c>
      <c r="I60" s="42" t="s">
        <v>656</v>
      </c>
      <c r="J60" s="39" t="s">
        <v>818</v>
      </c>
      <c r="K60" s="2">
        <v>126000</v>
      </c>
      <c r="L60" s="29">
        <f>+K60+16177</f>
        <v>142177</v>
      </c>
      <c r="M60" s="39" t="s">
        <v>627</v>
      </c>
      <c r="N60" s="29">
        <f>+K60+4000</f>
        <v>130000</v>
      </c>
      <c r="O60" s="29">
        <f>+N60+4000</f>
        <v>134000</v>
      </c>
      <c r="P60" s="29">
        <f>+O60+4000</f>
        <v>138000</v>
      </c>
      <c r="Q60" s="29">
        <f>+P60+4177</f>
        <v>142177</v>
      </c>
      <c r="R60" s="17">
        <v>134852</v>
      </c>
      <c r="S60" s="39" t="s">
        <v>45</v>
      </c>
      <c r="T60" s="41">
        <v>16000405136</v>
      </c>
      <c r="U60" s="41">
        <v>94568616692</v>
      </c>
      <c r="V60" s="41"/>
      <c r="W60" s="41"/>
      <c r="X60" s="41"/>
      <c r="Y60" s="41">
        <f>52234581262+122160372</f>
        <v>52356741634</v>
      </c>
      <c r="Z60" s="41">
        <f t="shared" si="0"/>
        <v>162925763462</v>
      </c>
      <c r="AA60" s="42" t="s">
        <v>68</v>
      </c>
      <c r="AB60" s="39" t="s">
        <v>359</v>
      </c>
      <c r="AC60" s="80" t="s">
        <v>1163</v>
      </c>
      <c r="AD60" s="80" t="s">
        <v>1164</v>
      </c>
      <c r="AE60" s="81" t="s">
        <v>1165</v>
      </c>
      <c r="AF60" s="99">
        <f>3201919944+4848874585+7438476023+15150+218675793+169897+22102+1572712957+368394+1332700+1222160372+769842013+590904207+5132293982+15165980993+6717185+4553769424+30006869+2069091345+41507523+15632648</f>
        <v>46880474106</v>
      </c>
      <c r="AG60" s="99">
        <f>3201919944+4848874585+7438476023+15150+218675793+169897+22102+1572712957+368394+1332700+1222160372+769842013+503830429+5132293982+13357307145+6717185+4510939610+30006869+2039091345+439560+167678</f>
        <v>44855363733</v>
      </c>
      <c r="AH60" s="17">
        <v>36662632670</v>
      </c>
    </row>
    <row r="61" spans="1:34" ht="142.5">
      <c r="A61" s="51"/>
      <c r="B61" s="40"/>
      <c r="C61" s="42"/>
      <c r="D61" s="42"/>
      <c r="E61" s="42"/>
      <c r="F61" s="43"/>
      <c r="G61" s="42"/>
      <c r="H61" s="42"/>
      <c r="I61" s="42"/>
      <c r="J61" s="39" t="s">
        <v>819</v>
      </c>
      <c r="K61" s="39">
        <v>0</v>
      </c>
      <c r="L61" s="39">
        <v>8</v>
      </c>
      <c r="M61" s="39" t="s">
        <v>627</v>
      </c>
      <c r="N61" s="39">
        <v>2</v>
      </c>
      <c r="O61" s="39">
        <v>4</v>
      </c>
      <c r="P61" s="39">
        <v>6</v>
      </c>
      <c r="Q61" s="39">
        <v>8</v>
      </c>
      <c r="R61" s="23"/>
      <c r="S61" s="39" t="s">
        <v>45</v>
      </c>
      <c r="T61" s="41"/>
      <c r="U61" s="41"/>
      <c r="V61" s="41"/>
      <c r="W61" s="41"/>
      <c r="X61" s="41"/>
      <c r="Y61" s="41"/>
      <c r="Z61" s="41">
        <f t="shared" si="0"/>
        <v>0</v>
      </c>
      <c r="AA61" s="42"/>
      <c r="AB61" s="39" t="s">
        <v>360</v>
      </c>
      <c r="AC61" s="80" t="s">
        <v>1166</v>
      </c>
      <c r="AD61" s="80" t="s">
        <v>1167</v>
      </c>
      <c r="AE61" s="81" t="s">
        <v>1168</v>
      </c>
      <c r="AF61" s="99">
        <f>0</f>
        <v>0</v>
      </c>
      <c r="AG61" s="99">
        <f>0</f>
        <v>0</v>
      </c>
      <c r="AH61" s="17">
        <v>120000000</v>
      </c>
    </row>
    <row r="62" spans="1:34" ht="99.75">
      <c r="A62" s="51"/>
      <c r="B62" s="40"/>
      <c r="C62" s="42"/>
      <c r="D62" s="42"/>
      <c r="E62" s="42"/>
      <c r="F62" s="43"/>
      <c r="G62" s="42"/>
      <c r="H62" s="42"/>
      <c r="I62" s="39" t="s">
        <v>657</v>
      </c>
      <c r="J62" s="39" t="s">
        <v>75</v>
      </c>
      <c r="K62" s="32">
        <v>1</v>
      </c>
      <c r="L62" s="32">
        <v>1</v>
      </c>
      <c r="M62" s="39" t="s">
        <v>628</v>
      </c>
      <c r="N62" s="32">
        <v>1</v>
      </c>
      <c r="O62" s="32">
        <v>1</v>
      </c>
      <c r="P62" s="32">
        <v>1</v>
      </c>
      <c r="Q62" s="32">
        <v>1</v>
      </c>
      <c r="R62" s="79">
        <v>1</v>
      </c>
      <c r="S62" s="39" t="s">
        <v>45</v>
      </c>
      <c r="T62" s="41"/>
      <c r="U62" s="41"/>
      <c r="V62" s="41"/>
      <c r="W62" s="41"/>
      <c r="X62" s="41"/>
      <c r="Y62" s="41"/>
      <c r="Z62" s="41">
        <f t="shared" si="0"/>
        <v>0</v>
      </c>
      <c r="AA62" s="42"/>
      <c r="AB62" s="39" t="s">
        <v>361</v>
      </c>
      <c r="AC62" s="80" t="s">
        <v>1169</v>
      </c>
      <c r="AD62" s="80" t="s">
        <v>1170</v>
      </c>
      <c r="AE62" s="81" t="s">
        <v>1171</v>
      </c>
      <c r="AF62" s="99">
        <f>60000000</f>
        <v>60000000</v>
      </c>
      <c r="AG62" s="99">
        <f>60000000</f>
        <v>60000000</v>
      </c>
      <c r="AH62" s="17">
        <v>360000000</v>
      </c>
    </row>
    <row r="63" spans="1:34" ht="171">
      <c r="A63" s="51"/>
      <c r="B63" s="40"/>
      <c r="C63" s="42" t="s">
        <v>77</v>
      </c>
      <c r="D63" s="42" t="s">
        <v>582</v>
      </c>
      <c r="E63" s="42" t="s">
        <v>76</v>
      </c>
      <c r="F63" s="43" t="s">
        <v>78</v>
      </c>
      <c r="G63" s="42" t="s">
        <v>253</v>
      </c>
      <c r="H63" s="42" t="s">
        <v>173</v>
      </c>
      <c r="I63" s="29" t="s">
        <v>658</v>
      </c>
      <c r="J63" s="29" t="s">
        <v>820</v>
      </c>
      <c r="K63" s="39">
        <v>0</v>
      </c>
      <c r="L63" s="39">
        <v>4</v>
      </c>
      <c r="M63" s="39" t="s">
        <v>627</v>
      </c>
      <c r="N63" s="39">
        <v>1</v>
      </c>
      <c r="O63" s="39">
        <v>2</v>
      </c>
      <c r="P63" s="39">
        <v>3</v>
      </c>
      <c r="Q63" s="39">
        <v>4</v>
      </c>
      <c r="R63" s="23">
        <v>1</v>
      </c>
      <c r="S63" s="39" t="s">
        <v>45</v>
      </c>
      <c r="T63" s="2"/>
      <c r="U63" s="2"/>
      <c r="V63" s="2"/>
      <c r="W63" s="2"/>
      <c r="X63" s="2"/>
      <c r="Y63" s="2"/>
      <c r="Z63" s="2">
        <f t="shared" si="0"/>
        <v>0</v>
      </c>
      <c r="AA63" s="42" t="s">
        <v>195</v>
      </c>
      <c r="AB63" s="29" t="s">
        <v>362</v>
      </c>
      <c r="AC63" s="80" t="s">
        <v>1172</v>
      </c>
      <c r="AD63" s="80" t="s">
        <v>1173</v>
      </c>
      <c r="AE63" s="81" t="s">
        <v>1174</v>
      </c>
      <c r="AF63" s="99">
        <f>536169+463831+1000000+4446040+117079392+70000000+1000000000</f>
        <v>1193525432</v>
      </c>
      <c r="AG63" s="99">
        <f>7021682+144294083+70000000</f>
        <v>221315765</v>
      </c>
      <c r="AH63" s="17">
        <v>2000000</v>
      </c>
    </row>
    <row r="64" spans="1:34" ht="171">
      <c r="A64" s="51"/>
      <c r="B64" s="40"/>
      <c r="C64" s="42"/>
      <c r="D64" s="42"/>
      <c r="E64" s="42"/>
      <c r="F64" s="43"/>
      <c r="G64" s="42"/>
      <c r="H64" s="42"/>
      <c r="I64" s="39" t="s">
        <v>659</v>
      </c>
      <c r="J64" s="39" t="s">
        <v>821</v>
      </c>
      <c r="K64" s="39">
        <v>0</v>
      </c>
      <c r="L64" s="39">
        <v>1</v>
      </c>
      <c r="M64" s="39" t="s">
        <v>627</v>
      </c>
      <c r="N64" s="39">
        <v>1</v>
      </c>
      <c r="O64" s="39">
        <v>1</v>
      </c>
      <c r="P64" s="39">
        <v>1</v>
      </c>
      <c r="Q64" s="39">
        <v>1</v>
      </c>
      <c r="R64" s="23">
        <v>1</v>
      </c>
      <c r="S64" s="39" t="s">
        <v>45</v>
      </c>
      <c r="T64" s="2"/>
      <c r="U64" s="2">
        <v>11665998702</v>
      </c>
      <c r="V64" s="2"/>
      <c r="W64" s="2"/>
      <c r="X64" s="2"/>
      <c r="Y64" s="2"/>
      <c r="Z64" s="2">
        <f t="shared" si="0"/>
        <v>11665998702</v>
      </c>
      <c r="AA64" s="42"/>
      <c r="AB64" s="29" t="s">
        <v>363</v>
      </c>
      <c r="AC64" s="80" t="s">
        <v>1175</v>
      </c>
      <c r="AD64" s="80" t="s">
        <v>1176</v>
      </c>
      <c r="AE64" s="81" t="s">
        <v>1177</v>
      </c>
      <c r="AF64" s="99">
        <f>325716065+19808163+15873047+729601+551589668+2088373803+150196731+14351962+11392683+348479427+30000000</f>
        <v>3556511150</v>
      </c>
      <c r="AG64" s="99">
        <f>729601+551589668+1670672165+150196731+14351962+11392683+348479427</f>
        <v>2747412237</v>
      </c>
      <c r="AH64" s="17">
        <v>2877346374</v>
      </c>
    </row>
    <row r="65" spans="1:34" ht="63.75">
      <c r="A65" s="51"/>
      <c r="B65" s="40" t="s">
        <v>3</v>
      </c>
      <c r="C65" s="42" t="s">
        <v>103</v>
      </c>
      <c r="D65" s="42" t="s">
        <v>161</v>
      </c>
      <c r="E65" s="42" t="s">
        <v>194</v>
      </c>
      <c r="F65" s="43" t="s">
        <v>254</v>
      </c>
      <c r="G65" s="42" t="s">
        <v>255</v>
      </c>
      <c r="H65" s="42" t="s">
        <v>164</v>
      </c>
      <c r="I65" s="39" t="s">
        <v>660</v>
      </c>
      <c r="J65" s="39" t="s">
        <v>822</v>
      </c>
      <c r="K65" s="39">
        <v>1</v>
      </c>
      <c r="L65" s="39">
        <v>4</v>
      </c>
      <c r="M65" s="39" t="s">
        <v>627</v>
      </c>
      <c r="N65" s="39">
        <v>2</v>
      </c>
      <c r="O65" s="39">
        <v>3</v>
      </c>
      <c r="P65" s="39">
        <v>4</v>
      </c>
      <c r="Q65" s="39">
        <v>0</v>
      </c>
      <c r="R65" s="39"/>
      <c r="S65" s="39" t="s">
        <v>283</v>
      </c>
      <c r="T65" s="29"/>
      <c r="U65" s="29"/>
      <c r="V65" s="29"/>
      <c r="W65" s="29"/>
      <c r="X65" s="29"/>
      <c r="Y65" s="29"/>
      <c r="Z65" s="29">
        <f t="shared" si="0"/>
        <v>0</v>
      </c>
      <c r="AA65" s="42" t="s">
        <v>321</v>
      </c>
      <c r="AB65" s="39" t="s">
        <v>324</v>
      </c>
      <c r="AC65" s="85" t="s">
        <v>1092</v>
      </c>
      <c r="AD65" s="85" t="s">
        <v>1093</v>
      </c>
      <c r="AE65" s="85" t="s">
        <v>1094</v>
      </c>
      <c r="AF65" s="17"/>
      <c r="AG65" s="17"/>
      <c r="AH65" s="17">
        <v>112451201</v>
      </c>
    </row>
    <row r="66" spans="1:34" ht="76.5">
      <c r="A66" s="51"/>
      <c r="B66" s="40"/>
      <c r="C66" s="42"/>
      <c r="D66" s="42"/>
      <c r="E66" s="42"/>
      <c r="F66" s="43"/>
      <c r="G66" s="42"/>
      <c r="H66" s="42"/>
      <c r="I66" s="42" t="s">
        <v>661</v>
      </c>
      <c r="J66" s="39" t="s">
        <v>823</v>
      </c>
      <c r="K66" s="39">
        <v>0</v>
      </c>
      <c r="L66" s="39">
        <v>1</v>
      </c>
      <c r="M66" s="39" t="s">
        <v>627</v>
      </c>
      <c r="N66" s="39">
        <v>0</v>
      </c>
      <c r="O66" s="39">
        <v>1</v>
      </c>
      <c r="P66" s="39">
        <v>0</v>
      </c>
      <c r="Q66" s="39">
        <v>0</v>
      </c>
      <c r="R66" s="39"/>
      <c r="S66" s="39" t="s">
        <v>283</v>
      </c>
      <c r="T66" s="41"/>
      <c r="U66" s="41"/>
      <c r="V66" s="41"/>
      <c r="W66" s="41"/>
      <c r="X66" s="41"/>
      <c r="Y66" s="41">
        <v>188263215</v>
      </c>
      <c r="Z66" s="41">
        <f t="shared" si="0"/>
        <v>188263215</v>
      </c>
      <c r="AA66" s="42"/>
      <c r="AB66" s="39" t="s">
        <v>325</v>
      </c>
      <c r="AC66" s="85" t="s">
        <v>1095</v>
      </c>
      <c r="AD66" s="85" t="s">
        <v>1096</v>
      </c>
      <c r="AE66" s="85" t="s">
        <v>1097</v>
      </c>
      <c r="AF66" s="99">
        <v>0</v>
      </c>
      <c r="AG66" s="99">
        <v>0</v>
      </c>
      <c r="AH66" s="17">
        <v>0</v>
      </c>
    </row>
    <row r="67" spans="1:34" ht="28.5">
      <c r="A67" s="51"/>
      <c r="B67" s="40"/>
      <c r="C67" s="42"/>
      <c r="D67" s="42"/>
      <c r="E67" s="42"/>
      <c r="F67" s="43"/>
      <c r="G67" s="42"/>
      <c r="H67" s="42"/>
      <c r="I67" s="42"/>
      <c r="J67" s="39" t="s">
        <v>824</v>
      </c>
      <c r="K67" s="39">
        <v>0</v>
      </c>
      <c r="L67" s="39">
        <v>3</v>
      </c>
      <c r="M67" s="39" t="s">
        <v>627</v>
      </c>
      <c r="N67" s="39">
        <v>0</v>
      </c>
      <c r="O67" s="39">
        <v>1</v>
      </c>
      <c r="P67" s="39">
        <v>2</v>
      </c>
      <c r="Q67" s="39">
        <v>3</v>
      </c>
      <c r="R67" s="39"/>
      <c r="S67" s="39" t="s">
        <v>283</v>
      </c>
      <c r="T67" s="41"/>
      <c r="U67" s="41"/>
      <c r="V67" s="41"/>
      <c r="W67" s="41"/>
      <c r="X67" s="41"/>
      <c r="Y67" s="41"/>
      <c r="Z67" s="41">
        <f t="shared" si="0"/>
        <v>0</v>
      </c>
      <c r="AA67" s="42"/>
      <c r="AB67" s="39" t="s">
        <v>326</v>
      </c>
      <c r="AC67" s="39"/>
      <c r="AD67" s="39"/>
      <c r="AE67" s="39"/>
      <c r="AF67" s="99">
        <v>0</v>
      </c>
      <c r="AG67" s="99">
        <v>0</v>
      </c>
      <c r="AH67" s="17">
        <v>0</v>
      </c>
    </row>
    <row r="68" spans="1:34">
      <c r="A68" s="51"/>
      <c r="B68" s="40"/>
      <c r="C68" s="42"/>
      <c r="D68" s="42"/>
      <c r="E68" s="42"/>
      <c r="F68" s="43"/>
      <c r="G68" s="42"/>
      <c r="H68" s="42"/>
      <c r="I68" s="42"/>
      <c r="J68" s="39" t="s">
        <v>825</v>
      </c>
      <c r="K68" s="39">
        <v>0</v>
      </c>
      <c r="L68" s="39">
        <v>0</v>
      </c>
      <c r="M68" s="39" t="s">
        <v>627</v>
      </c>
      <c r="N68" s="39">
        <v>0</v>
      </c>
      <c r="O68" s="39">
        <v>1</v>
      </c>
      <c r="P68" s="39">
        <v>0</v>
      </c>
      <c r="Q68" s="39">
        <v>0</v>
      </c>
      <c r="R68" s="39"/>
      <c r="S68" s="39" t="s">
        <v>283</v>
      </c>
      <c r="T68" s="41"/>
      <c r="U68" s="41"/>
      <c r="V68" s="41"/>
      <c r="W68" s="41"/>
      <c r="X68" s="41"/>
      <c r="Y68" s="41"/>
      <c r="Z68" s="41">
        <f t="shared" si="0"/>
        <v>0</v>
      </c>
      <c r="AA68" s="42"/>
      <c r="AB68" s="39" t="s">
        <v>514</v>
      </c>
      <c r="AC68" s="39"/>
      <c r="AD68" s="39"/>
      <c r="AE68" s="39"/>
      <c r="AF68" s="99"/>
      <c r="AG68" s="99"/>
      <c r="AH68" s="17">
        <v>0</v>
      </c>
    </row>
    <row r="69" spans="1:34" ht="63.75">
      <c r="A69" s="51"/>
      <c r="B69" s="40"/>
      <c r="C69" s="42"/>
      <c r="D69" s="42"/>
      <c r="E69" s="42"/>
      <c r="F69" s="43"/>
      <c r="G69" s="42"/>
      <c r="H69" s="42"/>
      <c r="I69" s="42"/>
      <c r="J69" s="39" t="s">
        <v>826</v>
      </c>
      <c r="K69" s="39">
        <v>0</v>
      </c>
      <c r="L69" s="39">
        <v>2</v>
      </c>
      <c r="M69" s="39" t="s">
        <v>627</v>
      </c>
      <c r="N69" s="39">
        <v>1</v>
      </c>
      <c r="O69" s="39">
        <v>2</v>
      </c>
      <c r="P69" s="39">
        <v>0</v>
      </c>
      <c r="Q69" s="39">
        <v>0</v>
      </c>
      <c r="R69" s="39"/>
      <c r="S69" s="39" t="s">
        <v>283</v>
      </c>
      <c r="T69" s="41"/>
      <c r="U69" s="41"/>
      <c r="V69" s="41"/>
      <c r="W69" s="41"/>
      <c r="X69" s="41"/>
      <c r="Y69" s="41"/>
      <c r="Z69" s="41">
        <f t="shared" si="0"/>
        <v>0</v>
      </c>
      <c r="AA69" s="42"/>
      <c r="AB69" s="39" t="s">
        <v>327</v>
      </c>
      <c r="AC69" s="85" t="s">
        <v>1098</v>
      </c>
      <c r="AD69" s="85" t="s">
        <v>1099</v>
      </c>
      <c r="AE69" s="85"/>
      <c r="AF69" s="99">
        <v>7642450</v>
      </c>
      <c r="AG69" s="99">
        <v>7642450</v>
      </c>
      <c r="AH69" s="17">
        <v>0</v>
      </c>
    </row>
    <row r="70" spans="1:34" ht="89.25">
      <c r="A70" s="51"/>
      <c r="B70" s="40"/>
      <c r="C70" s="42" t="s">
        <v>104</v>
      </c>
      <c r="D70" s="42" t="s">
        <v>160</v>
      </c>
      <c r="E70" s="42" t="s">
        <v>278</v>
      </c>
      <c r="F70" s="43" t="s">
        <v>256</v>
      </c>
      <c r="G70" s="42" t="s">
        <v>22</v>
      </c>
      <c r="H70" s="42" t="s">
        <v>118</v>
      </c>
      <c r="I70" s="42" t="s">
        <v>204</v>
      </c>
      <c r="J70" s="39" t="s">
        <v>827</v>
      </c>
      <c r="K70" s="39">
        <v>300</v>
      </c>
      <c r="L70" s="39">
        <v>350</v>
      </c>
      <c r="M70" s="39" t="s">
        <v>627</v>
      </c>
      <c r="N70" s="39">
        <v>350</v>
      </c>
      <c r="O70" s="39">
        <v>350</v>
      </c>
      <c r="P70" s="39">
        <v>350</v>
      </c>
      <c r="Q70" s="39">
        <v>350</v>
      </c>
      <c r="R70" s="39"/>
      <c r="S70" s="39" t="s">
        <v>283</v>
      </c>
      <c r="T70" s="41"/>
      <c r="U70" s="41">
        <v>1575934216</v>
      </c>
      <c r="V70" s="41"/>
      <c r="W70" s="41"/>
      <c r="X70" s="41"/>
      <c r="Y70" s="41">
        <v>1129579290</v>
      </c>
      <c r="Z70" s="41">
        <f t="shared" si="0"/>
        <v>2705513506</v>
      </c>
      <c r="AA70" s="42" t="s">
        <v>322</v>
      </c>
      <c r="AB70" s="39" t="s">
        <v>328</v>
      </c>
      <c r="AC70" s="85" t="s">
        <v>1100</v>
      </c>
      <c r="AD70" s="85" t="s">
        <v>1101</v>
      </c>
      <c r="AE70" s="85"/>
      <c r="AF70" s="99">
        <v>183436428</v>
      </c>
      <c r="AG70" s="99">
        <v>183436428</v>
      </c>
      <c r="AH70" s="17">
        <v>330000000</v>
      </c>
    </row>
    <row r="71" spans="1:34" ht="51">
      <c r="A71" s="51"/>
      <c r="B71" s="40"/>
      <c r="C71" s="42"/>
      <c r="D71" s="42"/>
      <c r="E71" s="42"/>
      <c r="F71" s="43"/>
      <c r="G71" s="42"/>
      <c r="H71" s="42"/>
      <c r="I71" s="42"/>
      <c r="J71" s="39" t="s">
        <v>828</v>
      </c>
      <c r="K71" s="39">
        <v>0</v>
      </c>
      <c r="L71" s="39">
        <v>4</v>
      </c>
      <c r="M71" s="39" t="s">
        <v>627</v>
      </c>
      <c r="N71" s="39">
        <v>1</v>
      </c>
      <c r="O71" s="39">
        <v>2</v>
      </c>
      <c r="P71" s="39">
        <v>3</v>
      </c>
      <c r="Q71" s="39">
        <v>4</v>
      </c>
      <c r="R71" s="39"/>
      <c r="S71" s="39" t="s">
        <v>283</v>
      </c>
      <c r="T71" s="41"/>
      <c r="U71" s="41"/>
      <c r="V71" s="41"/>
      <c r="W71" s="41"/>
      <c r="X71" s="41"/>
      <c r="Y71" s="41"/>
      <c r="Z71" s="41">
        <f t="shared" si="0"/>
        <v>0</v>
      </c>
      <c r="AA71" s="42"/>
      <c r="AB71" s="39" t="s">
        <v>329</v>
      </c>
      <c r="AC71" s="85" t="s">
        <v>1102</v>
      </c>
      <c r="AD71" s="85" t="s">
        <v>1103</v>
      </c>
      <c r="AE71" s="39"/>
      <c r="AF71" s="99">
        <v>0</v>
      </c>
      <c r="AG71" s="99">
        <v>0</v>
      </c>
      <c r="AH71" s="17">
        <v>0</v>
      </c>
    </row>
    <row r="72" spans="1:34" ht="89.25">
      <c r="A72" s="51"/>
      <c r="B72" s="40"/>
      <c r="C72" s="42"/>
      <c r="D72" s="42"/>
      <c r="E72" s="42"/>
      <c r="F72" s="43"/>
      <c r="G72" s="42"/>
      <c r="H72" s="42"/>
      <c r="I72" s="42"/>
      <c r="J72" s="39" t="s">
        <v>829</v>
      </c>
      <c r="K72" s="39">
        <v>2300</v>
      </c>
      <c r="L72" s="39">
        <v>3150</v>
      </c>
      <c r="M72" s="39" t="s">
        <v>627</v>
      </c>
      <c r="N72" s="39">
        <v>3150</v>
      </c>
      <c r="O72" s="39">
        <v>3150</v>
      </c>
      <c r="P72" s="39">
        <v>3150</v>
      </c>
      <c r="Q72" s="39">
        <v>3150</v>
      </c>
      <c r="R72" s="39"/>
      <c r="S72" s="39" t="s">
        <v>283</v>
      </c>
      <c r="T72" s="41"/>
      <c r="U72" s="41"/>
      <c r="V72" s="41"/>
      <c r="W72" s="41"/>
      <c r="X72" s="41"/>
      <c r="Y72" s="41"/>
      <c r="Z72" s="41">
        <f t="shared" si="0"/>
        <v>0</v>
      </c>
      <c r="AA72" s="42"/>
      <c r="AB72" s="39" t="s">
        <v>383</v>
      </c>
      <c r="AC72" s="85" t="s">
        <v>1104</v>
      </c>
      <c r="AD72" s="85" t="s">
        <v>1101</v>
      </c>
      <c r="AE72" s="39"/>
      <c r="AF72" s="99">
        <v>108667572</v>
      </c>
      <c r="AG72" s="99">
        <v>108667572</v>
      </c>
      <c r="AH72" s="17">
        <v>70000000</v>
      </c>
    </row>
    <row r="73" spans="1:34" ht="63.75">
      <c r="A73" s="51"/>
      <c r="B73" s="40"/>
      <c r="C73" s="42"/>
      <c r="D73" s="42"/>
      <c r="E73" s="42"/>
      <c r="F73" s="43"/>
      <c r="G73" s="42"/>
      <c r="H73" s="42"/>
      <c r="I73" s="42"/>
      <c r="J73" s="39" t="s">
        <v>830</v>
      </c>
      <c r="K73" s="39">
        <v>0</v>
      </c>
      <c r="L73" s="39">
        <v>1</v>
      </c>
      <c r="M73" s="39" t="s">
        <v>627</v>
      </c>
      <c r="N73" s="39">
        <v>1</v>
      </c>
      <c r="O73" s="39">
        <v>1</v>
      </c>
      <c r="P73" s="39">
        <v>1</v>
      </c>
      <c r="Q73" s="39">
        <v>1</v>
      </c>
      <c r="R73" s="39"/>
      <c r="S73" s="39" t="s">
        <v>283</v>
      </c>
      <c r="T73" s="41"/>
      <c r="U73" s="41"/>
      <c r="V73" s="41"/>
      <c r="W73" s="41"/>
      <c r="X73" s="41"/>
      <c r="Y73" s="41"/>
      <c r="Z73" s="41">
        <f t="shared" si="0"/>
        <v>0</v>
      </c>
      <c r="AA73" s="42"/>
      <c r="AB73" s="39" t="s">
        <v>330</v>
      </c>
      <c r="AC73" s="85" t="s">
        <v>1105</v>
      </c>
      <c r="AD73" s="85" t="s">
        <v>1106</v>
      </c>
      <c r="AE73" s="85"/>
      <c r="AF73" s="99">
        <v>0</v>
      </c>
      <c r="AG73" s="99">
        <v>0</v>
      </c>
      <c r="AH73" s="17">
        <v>0</v>
      </c>
    </row>
    <row r="74" spans="1:34" ht="51">
      <c r="A74" s="51"/>
      <c r="B74" s="40"/>
      <c r="C74" s="42"/>
      <c r="D74" s="42"/>
      <c r="E74" s="42"/>
      <c r="F74" s="43"/>
      <c r="G74" s="42"/>
      <c r="H74" s="42"/>
      <c r="I74" s="42"/>
      <c r="J74" s="39" t="s">
        <v>831</v>
      </c>
      <c r="K74" s="39">
        <v>0</v>
      </c>
      <c r="L74" s="39">
        <v>200</v>
      </c>
      <c r="M74" s="39" t="s">
        <v>627</v>
      </c>
      <c r="N74" s="39">
        <v>200</v>
      </c>
      <c r="O74" s="39">
        <v>200</v>
      </c>
      <c r="P74" s="39">
        <v>200</v>
      </c>
      <c r="Q74" s="39">
        <v>200</v>
      </c>
      <c r="R74" s="39"/>
      <c r="S74" s="39" t="s">
        <v>283</v>
      </c>
      <c r="T74" s="41"/>
      <c r="U74" s="41"/>
      <c r="V74" s="41"/>
      <c r="W74" s="41"/>
      <c r="X74" s="41"/>
      <c r="Y74" s="41"/>
      <c r="Z74" s="41">
        <f t="shared" si="0"/>
        <v>0</v>
      </c>
      <c r="AA74" s="42"/>
      <c r="AB74" s="39" t="s">
        <v>331</v>
      </c>
      <c r="AC74" s="85" t="s">
        <v>1107</v>
      </c>
      <c r="AD74" s="85" t="s">
        <v>1108</v>
      </c>
      <c r="AE74" s="39"/>
      <c r="AF74" s="99">
        <v>10000000</v>
      </c>
      <c r="AG74" s="99">
        <v>10000000</v>
      </c>
      <c r="AH74" s="17">
        <v>50000000</v>
      </c>
    </row>
    <row r="75" spans="1:34" ht="71.25">
      <c r="A75" s="51"/>
      <c r="B75" s="40"/>
      <c r="C75" s="42" t="s">
        <v>105</v>
      </c>
      <c r="D75" s="42" t="s">
        <v>583</v>
      </c>
      <c r="E75" s="42" t="s">
        <v>193</v>
      </c>
      <c r="F75" s="43" t="s">
        <v>257</v>
      </c>
      <c r="G75" s="42" t="s">
        <v>258</v>
      </c>
      <c r="H75" s="39" t="s">
        <v>662</v>
      </c>
      <c r="I75" s="39" t="s">
        <v>205</v>
      </c>
      <c r="J75" s="39" t="s">
        <v>114</v>
      </c>
      <c r="K75" s="39">
        <v>0</v>
      </c>
      <c r="L75" s="39">
        <v>3</v>
      </c>
      <c r="M75" s="39" t="s">
        <v>627</v>
      </c>
      <c r="N75" s="39">
        <v>1</v>
      </c>
      <c r="O75" s="39">
        <v>2</v>
      </c>
      <c r="P75" s="39">
        <v>3</v>
      </c>
      <c r="Q75" s="39">
        <v>0</v>
      </c>
      <c r="R75" s="39"/>
      <c r="S75" s="39" t="s">
        <v>283</v>
      </c>
      <c r="T75" s="29"/>
      <c r="U75" s="29"/>
      <c r="V75" s="29"/>
      <c r="W75" s="29"/>
      <c r="X75" s="29"/>
      <c r="Y75" s="29">
        <v>376526430</v>
      </c>
      <c r="Z75" s="29">
        <f t="shared" ref="Z75:Z138" si="1">+T75+U75+V75+W75+X75+Y75</f>
        <v>376526430</v>
      </c>
      <c r="AA75" s="47" t="s">
        <v>384</v>
      </c>
      <c r="AB75" s="39" t="s">
        <v>332</v>
      </c>
      <c r="AC75" s="39"/>
      <c r="AD75" s="39"/>
      <c r="AE75" s="85" t="s">
        <v>1109</v>
      </c>
      <c r="AF75" s="17">
        <v>0</v>
      </c>
      <c r="AG75" s="17">
        <v>0</v>
      </c>
      <c r="AH75" s="17">
        <v>0</v>
      </c>
    </row>
    <row r="76" spans="1:34" ht="76.5">
      <c r="A76" s="51"/>
      <c r="B76" s="40"/>
      <c r="C76" s="42"/>
      <c r="D76" s="42"/>
      <c r="E76" s="42"/>
      <c r="F76" s="43"/>
      <c r="G76" s="42"/>
      <c r="H76" s="42" t="s">
        <v>663</v>
      </c>
      <c r="I76" s="42" t="s">
        <v>664</v>
      </c>
      <c r="J76" s="39" t="s">
        <v>832</v>
      </c>
      <c r="K76" s="39">
        <v>0</v>
      </c>
      <c r="L76" s="39">
        <v>4</v>
      </c>
      <c r="M76" s="39" t="s">
        <v>627</v>
      </c>
      <c r="N76" s="39">
        <v>1</v>
      </c>
      <c r="O76" s="39">
        <v>2</v>
      </c>
      <c r="P76" s="39">
        <v>3</v>
      </c>
      <c r="Q76" s="39">
        <v>4</v>
      </c>
      <c r="R76" s="39"/>
      <c r="S76" s="39" t="s">
        <v>283</v>
      </c>
      <c r="T76" s="41"/>
      <c r="U76" s="41"/>
      <c r="V76" s="41"/>
      <c r="W76" s="41"/>
      <c r="X76" s="41"/>
      <c r="Y76" s="41">
        <v>188263215</v>
      </c>
      <c r="Z76" s="41">
        <f t="shared" si="1"/>
        <v>188263215</v>
      </c>
      <c r="AA76" s="48"/>
      <c r="AB76" s="39" t="s">
        <v>385</v>
      </c>
      <c r="AC76" s="85" t="s">
        <v>1110</v>
      </c>
      <c r="AD76" s="85" t="s">
        <v>1111</v>
      </c>
      <c r="AE76" s="85" t="s">
        <v>1112</v>
      </c>
      <c r="AF76" s="99">
        <v>5000000</v>
      </c>
      <c r="AG76" s="17">
        <v>5000000</v>
      </c>
      <c r="AH76" s="17">
        <v>20000000</v>
      </c>
    </row>
    <row r="77" spans="1:34" ht="89.25">
      <c r="A77" s="51"/>
      <c r="B77" s="40"/>
      <c r="C77" s="42"/>
      <c r="D77" s="42"/>
      <c r="E77" s="42"/>
      <c r="F77" s="43"/>
      <c r="G77" s="42"/>
      <c r="H77" s="42"/>
      <c r="I77" s="42"/>
      <c r="J77" s="39" t="s">
        <v>833</v>
      </c>
      <c r="K77" s="39">
        <v>4</v>
      </c>
      <c r="L77" s="39">
        <v>8</v>
      </c>
      <c r="M77" s="39" t="s">
        <v>627</v>
      </c>
      <c r="N77" s="39">
        <v>5</v>
      </c>
      <c r="O77" s="39">
        <v>6</v>
      </c>
      <c r="P77" s="39">
        <v>7</v>
      </c>
      <c r="Q77" s="39">
        <v>8</v>
      </c>
      <c r="R77" s="39"/>
      <c r="S77" s="39" t="s">
        <v>283</v>
      </c>
      <c r="T77" s="41"/>
      <c r="U77" s="41"/>
      <c r="V77" s="41"/>
      <c r="W77" s="41"/>
      <c r="X77" s="41"/>
      <c r="Y77" s="41"/>
      <c r="Z77" s="41">
        <f t="shared" si="1"/>
        <v>0</v>
      </c>
      <c r="AA77" s="48"/>
      <c r="AB77" s="39" t="s">
        <v>387</v>
      </c>
      <c r="AC77" s="85" t="s">
        <v>1113</v>
      </c>
      <c r="AD77" s="85" t="s">
        <v>1114</v>
      </c>
      <c r="AE77" s="85"/>
      <c r="AF77" s="99">
        <v>20000000</v>
      </c>
      <c r="AG77" s="17">
        <v>20000000</v>
      </c>
      <c r="AH77" s="17">
        <v>50000000</v>
      </c>
    </row>
    <row r="78" spans="1:34" ht="51">
      <c r="A78" s="51"/>
      <c r="B78" s="40"/>
      <c r="C78" s="42"/>
      <c r="D78" s="42"/>
      <c r="E78" s="42"/>
      <c r="F78" s="43"/>
      <c r="G78" s="42"/>
      <c r="H78" s="42"/>
      <c r="I78" s="42"/>
      <c r="J78" s="39" t="s">
        <v>834</v>
      </c>
      <c r="K78" s="39">
        <v>17</v>
      </c>
      <c r="L78" s="39">
        <v>21</v>
      </c>
      <c r="M78" s="39" t="s">
        <v>627</v>
      </c>
      <c r="N78" s="39">
        <v>18</v>
      </c>
      <c r="O78" s="39">
        <v>19</v>
      </c>
      <c r="P78" s="39">
        <v>20</v>
      </c>
      <c r="Q78" s="39">
        <v>21</v>
      </c>
      <c r="R78" s="39"/>
      <c r="S78" s="39" t="s">
        <v>283</v>
      </c>
      <c r="T78" s="41"/>
      <c r="U78" s="41"/>
      <c r="V78" s="41"/>
      <c r="W78" s="41"/>
      <c r="X78" s="41"/>
      <c r="Y78" s="41"/>
      <c r="Z78" s="41">
        <f t="shared" si="1"/>
        <v>0</v>
      </c>
      <c r="AA78" s="49"/>
      <c r="AB78" s="39" t="s">
        <v>386</v>
      </c>
      <c r="AC78" s="85" t="s">
        <v>1115</v>
      </c>
      <c r="AD78" s="85" t="s">
        <v>1116</v>
      </c>
      <c r="AE78" s="85" t="s">
        <v>1117</v>
      </c>
      <c r="AF78" s="99">
        <v>273000000</v>
      </c>
      <c r="AG78" s="17">
        <v>273000000</v>
      </c>
      <c r="AH78" s="17">
        <v>125860384</v>
      </c>
    </row>
    <row r="79" spans="1:34" ht="153">
      <c r="A79" s="51"/>
      <c r="B79" s="40"/>
      <c r="C79" s="42" t="s">
        <v>86</v>
      </c>
      <c r="D79" s="42" t="s">
        <v>159</v>
      </c>
      <c r="E79" s="42" t="s">
        <v>19</v>
      </c>
      <c r="F79" s="42" t="s">
        <v>183</v>
      </c>
      <c r="G79" s="42" t="s">
        <v>184</v>
      </c>
      <c r="H79" s="42" t="s">
        <v>23</v>
      </c>
      <c r="I79" s="42" t="s">
        <v>182</v>
      </c>
      <c r="J79" s="39" t="s">
        <v>835</v>
      </c>
      <c r="K79" s="39">
        <v>0</v>
      </c>
      <c r="L79" s="39">
        <v>90</v>
      </c>
      <c r="M79" s="39" t="s">
        <v>627</v>
      </c>
      <c r="N79" s="39">
        <v>90</v>
      </c>
      <c r="O79" s="39">
        <v>90</v>
      </c>
      <c r="P79" s="39">
        <v>90</v>
      </c>
      <c r="Q79" s="39">
        <v>90</v>
      </c>
      <c r="R79" s="39"/>
      <c r="S79" s="39" t="s">
        <v>283</v>
      </c>
      <c r="T79" s="29">
        <v>1200000000</v>
      </c>
      <c r="U79" s="29"/>
      <c r="V79" s="29"/>
      <c r="W79" s="29"/>
      <c r="X79" s="29"/>
      <c r="Y79" s="29"/>
      <c r="Z79" s="29">
        <f t="shared" si="1"/>
        <v>1200000000</v>
      </c>
      <c r="AA79" s="42" t="s">
        <v>323</v>
      </c>
      <c r="AB79" s="39" t="s">
        <v>388</v>
      </c>
      <c r="AC79" s="85" t="s">
        <v>1118</v>
      </c>
      <c r="AD79" s="85" t="s">
        <v>1119</v>
      </c>
      <c r="AE79" s="85"/>
      <c r="AF79" s="99">
        <v>338600000</v>
      </c>
      <c r="AG79" s="17">
        <v>338600000</v>
      </c>
      <c r="AH79" s="17">
        <v>288330334</v>
      </c>
    </row>
    <row r="80" spans="1:34" ht="63.75">
      <c r="A80" s="51"/>
      <c r="B80" s="40"/>
      <c r="C80" s="42"/>
      <c r="D80" s="42"/>
      <c r="E80" s="42"/>
      <c r="F80" s="42"/>
      <c r="G80" s="42"/>
      <c r="H80" s="42"/>
      <c r="I80" s="42"/>
      <c r="J80" s="39" t="s">
        <v>836</v>
      </c>
      <c r="K80" s="39">
        <v>0</v>
      </c>
      <c r="L80" s="39">
        <v>1</v>
      </c>
      <c r="M80" s="39" t="s">
        <v>627</v>
      </c>
      <c r="N80" s="39">
        <v>1</v>
      </c>
      <c r="O80" s="39">
        <v>0</v>
      </c>
      <c r="P80" s="39">
        <v>0</v>
      </c>
      <c r="Q80" s="39">
        <v>0</v>
      </c>
      <c r="R80" s="39"/>
      <c r="S80" s="39" t="s">
        <v>283</v>
      </c>
      <c r="T80" s="29"/>
      <c r="U80" s="29"/>
      <c r="V80" s="29"/>
      <c r="W80" s="29"/>
      <c r="X80" s="29"/>
      <c r="Y80" s="29"/>
      <c r="Z80" s="29">
        <f t="shared" si="1"/>
        <v>0</v>
      </c>
      <c r="AA80" s="42"/>
      <c r="AB80" s="39" t="s">
        <v>389</v>
      </c>
      <c r="AC80" s="85" t="s">
        <v>1120</v>
      </c>
      <c r="AD80" s="85" t="s">
        <v>1121</v>
      </c>
      <c r="AE80" s="85" t="s">
        <v>1122</v>
      </c>
      <c r="AF80" s="99"/>
      <c r="AG80" s="17"/>
      <c r="AH80" s="17">
        <v>50000000</v>
      </c>
    </row>
    <row r="81" spans="1:34" ht="51">
      <c r="A81" s="51"/>
      <c r="B81" s="40"/>
      <c r="C81" s="42"/>
      <c r="D81" s="42"/>
      <c r="E81" s="42"/>
      <c r="F81" s="42"/>
      <c r="G81" s="42"/>
      <c r="H81" s="42"/>
      <c r="I81" s="42"/>
      <c r="J81" s="39" t="s">
        <v>837</v>
      </c>
      <c r="K81" s="39">
        <v>0</v>
      </c>
      <c r="L81" s="39">
        <v>4</v>
      </c>
      <c r="M81" s="39" t="s">
        <v>627</v>
      </c>
      <c r="N81" s="39">
        <v>1</v>
      </c>
      <c r="O81" s="39">
        <v>2</v>
      </c>
      <c r="P81" s="39">
        <v>3</v>
      </c>
      <c r="Q81" s="39">
        <v>4</v>
      </c>
      <c r="R81" s="39"/>
      <c r="S81" s="39" t="s">
        <v>283</v>
      </c>
      <c r="T81" s="29"/>
      <c r="U81" s="29"/>
      <c r="V81" s="29"/>
      <c r="W81" s="29"/>
      <c r="X81" s="29"/>
      <c r="Y81" s="29"/>
      <c r="Z81" s="29">
        <f t="shared" si="1"/>
        <v>0</v>
      </c>
      <c r="AA81" s="42"/>
      <c r="AB81" s="39" t="s">
        <v>333</v>
      </c>
      <c r="AC81" s="85" t="s">
        <v>1123</v>
      </c>
      <c r="AD81" s="85" t="s">
        <v>1108</v>
      </c>
      <c r="AE81" s="85" t="s">
        <v>1124</v>
      </c>
      <c r="AF81" s="99"/>
      <c r="AG81" s="17"/>
      <c r="AH81" s="17">
        <v>50000000</v>
      </c>
    </row>
    <row r="82" spans="1:34" ht="57">
      <c r="A82" s="51"/>
      <c r="B82" s="40" t="s">
        <v>4</v>
      </c>
      <c r="C82" s="42" t="s">
        <v>231</v>
      </c>
      <c r="D82" s="42" t="s">
        <v>113</v>
      </c>
      <c r="E82" s="42" t="s">
        <v>20</v>
      </c>
      <c r="F82" s="42" t="s">
        <v>260</v>
      </c>
      <c r="G82" s="42" t="s">
        <v>259</v>
      </c>
      <c r="H82" s="42" t="s">
        <v>112</v>
      </c>
      <c r="I82" s="42" t="s">
        <v>206</v>
      </c>
      <c r="J82" s="39" t="s">
        <v>838</v>
      </c>
      <c r="K82" s="39">
        <v>6</v>
      </c>
      <c r="L82" s="39">
        <v>14</v>
      </c>
      <c r="M82" s="39" t="s">
        <v>627</v>
      </c>
      <c r="N82" s="39">
        <v>8</v>
      </c>
      <c r="O82" s="39">
        <v>10</v>
      </c>
      <c r="P82" s="39">
        <v>12</v>
      </c>
      <c r="Q82" s="39">
        <v>14</v>
      </c>
      <c r="R82" s="39"/>
      <c r="S82" s="39" t="s">
        <v>41</v>
      </c>
      <c r="T82" s="29">
        <v>100000000</v>
      </c>
      <c r="U82" s="29">
        <v>157000000</v>
      </c>
      <c r="V82" s="29"/>
      <c r="W82" s="29"/>
      <c r="X82" s="29"/>
      <c r="Y82" s="29">
        <f>69000000*4</f>
        <v>276000000</v>
      </c>
      <c r="Z82" s="29">
        <f t="shared" si="1"/>
        <v>533000000</v>
      </c>
      <c r="AA82" s="42" t="s">
        <v>437</v>
      </c>
      <c r="AB82" s="39" t="s">
        <v>438</v>
      </c>
      <c r="AC82" s="39" t="s">
        <v>1248</v>
      </c>
      <c r="AD82" s="39" t="s">
        <v>1249</v>
      </c>
      <c r="AE82" s="39" t="s">
        <v>1250</v>
      </c>
      <c r="AF82" s="17">
        <v>90000000</v>
      </c>
      <c r="AG82" s="17"/>
      <c r="AH82" s="17">
        <v>347000000</v>
      </c>
    </row>
    <row r="83" spans="1:34" ht="42.75">
      <c r="A83" s="51"/>
      <c r="B83" s="40"/>
      <c r="C83" s="42"/>
      <c r="D83" s="42"/>
      <c r="E83" s="42"/>
      <c r="F83" s="42"/>
      <c r="G83" s="42"/>
      <c r="H83" s="42"/>
      <c r="I83" s="42"/>
      <c r="J83" s="39" t="s">
        <v>839</v>
      </c>
      <c r="K83" s="39">
        <v>0</v>
      </c>
      <c r="L83" s="39">
        <v>8</v>
      </c>
      <c r="M83" s="39" t="s">
        <v>627</v>
      </c>
      <c r="N83" s="39">
        <v>2</v>
      </c>
      <c r="O83" s="39">
        <v>4</v>
      </c>
      <c r="P83" s="39">
        <v>6</v>
      </c>
      <c r="Q83" s="39">
        <v>8</v>
      </c>
      <c r="R83" s="39"/>
      <c r="S83" s="39" t="s">
        <v>41</v>
      </c>
      <c r="T83" s="29"/>
      <c r="U83" s="29"/>
      <c r="V83" s="29"/>
      <c r="W83" s="29"/>
      <c r="X83" s="29"/>
      <c r="Y83" s="29">
        <v>88000000</v>
      </c>
      <c r="Z83" s="29">
        <f t="shared" si="1"/>
        <v>88000000</v>
      </c>
      <c r="AA83" s="42"/>
      <c r="AB83" s="39" t="s">
        <v>439</v>
      </c>
      <c r="AC83" s="39" t="s">
        <v>1251</v>
      </c>
      <c r="AD83" s="39" t="s">
        <v>1249</v>
      </c>
      <c r="AE83" s="93"/>
      <c r="AF83" s="17">
        <v>114705932.09999999</v>
      </c>
      <c r="AG83" s="17"/>
      <c r="AH83" s="17">
        <v>110000000</v>
      </c>
    </row>
    <row r="84" spans="1:34" ht="42.75">
      <c r="A84" s="51"/>
      <c r="B84" s="40"/>
      <c r="C84" s="42"/>
      <c r="D84" s="42"/>
      <c r="E84" s="42"/>
      <c r="F84" s="42"/>
      <c r="G84" s="42"/>
      <c r="H84" s="42"/>
      <c r="I84" s="42"/>
      <c r="J84" s="39" t="s">
        <v>840</v>
      </c>
      <c r="K84" s="39">
        <v>1</v>
      </c>
      <c r="L84" s="39">
        <v>3</v>
      </c>
      <c r="M84" s="39" t="s">
        <v>627</v>
      </c>
      <c r="N84" s="39">
        <v>0</v>
      </c>
      <c r="O84" s="39">
        <v>2</v>
      </c>
      <c r="P84" s="39">
        <v>0</v>
      </c>
      <c r="Q84" s="39">
        <v>3</v>
      </c>
      <c r="R84" s="39"/>
      <c r="S84" s="39" t="s">
        <v>41</v>
      </c>
      <c r="T84" s="29">
        <v>4000000</v>
      </c>
      <c r="U84" s="29">
        <v>316245625</v>
      </c>
      <c r="V84" s="29"/>
      <c r="W84" s="29"/>
      <c r="X84" s="29"/>
      <c r="Y84" s="29">
        <v>2344381628</v>
      </c>
      <c r="Z84" s="29">
        <f t="shared" si="1"/>
        <v>2664627253</v>
      </c>
      <c r="AA84" s="42"/>
      <c r="AB84" s="39" t="s">
        <v>440</v>
      </c>
      <c r="AC84" s="39" t="s">
        <v>1252</v>
      </c>
      <c r="AD84" s="39"/>
      <c r="AE84" s="39" t="s">
        <v>1253</v>
      </c>
      <c r="AF84" s="17">
        <v>0</v>
      </c>
      <c r="AG84" s="17"/>
      <c r="AH84" s="17">
        <v>150000000</v>
      </c>
    </row>
    <row r="85" spans="1:34" ht="28.5">
      <c r="A85" s="51"/>
      <c r="B85" s="40"/>
      <c r="C85" s="42"/>
      <c r="D85" s="42"/>
      <c r="E85" s="42"/>
      <c r="F85" s="42"/>
      <c r="G85" s="42"/>
      <c r="H85" s="42"/>
      <c r="I85" s="42"/>
      <c r="J85" s="39" t="s">
        <v>841</v>
      </c>
      <c r="K85" s="39">
        <v>20</v>
      </c>
      <c r="L85" s="39">
        <v>50</v>
      </c>
      <c r="M85" s="39" t="s">
        <v>627</v>
      </c>
      <c r="N85" s="39">
        <v>30</v>
      </c>
      <c r="O85" s="39">
        <v>40</v>
      </c>
      <c r="P85" s="39">
        <v>45</v>
      </c>
      <c r="Q85" s="39">
        <v>50</v>
      </c>
      <c r="R85" s="39"/>
      <c r="S85" s="39" t="s">
        <v>41</v>
      </c>
      <c r="T85" s="29"/>
      <c r="U85" s="29">
        <v>320000000</v>
      </c>
      <c r="V85" s="29"/>
      <c r="W85" s="29"/>
      <c r="X85" s="29"/>
      <c r="Y85" s="29"/>
      <c r="Z85" s="29">
        <f t="shared" si="1"/>
        <v>320000000</v>
      </c>
      <c r="AA85" s="42"/>
      <c r="AB85" s="39" t="s">
        <v>441</v>
      </c>
      <c r="AC85" s="39" t="s">
        <v>1254</v>
      </c>
      <c r="AD85" s="39"/>
      <c r="AE85" s="39" t="s">
        <v>1255</v>
      </c>
      <c r="AF85" s="17">
        <v>0</v>
      </c>
      <c r="AG85" s="17"/>
      <c r="AH85" s="17">
        <v>1000000</v>
      </c>
    </row>
    <row r="86" spans="1:34" ht="57">
      <c r="A86" s="51"/>
      <c r="B86" s="40"/>
      <c r="C86" s="42"/>
      <c r="D86" s="42"/>
      <c r="E86" s="42"/>
      <c r="F86" s="42"/>
      <c r="G86" s="42"/>
      <c r="H86" s="42"/>
      <c r="I86" s="42"/>
      <c r="J86" s="39" t="s">
        <v>842</v>
      </c>
      <c r="K86" s="39">
        <v>1500</v>
      </c>
      <c r="L86" s="39">
        <v>3000</v>
      </c>
      <c r="M86" s="39" t="s">
        <v>627</v>
      </c>
      <c r="N86" s="39">
        <v>2000</v>
      </c>
      <c r="O86" s="39">
        <v>2500</v>
      </c>
      <c r="P86" s="39">
        <v>2800</v>
      </c>
      <c r="Q86" s="39">
        <v>3000</v>
      </c>
      <c r="R86" s="39"/>
      <c r="S86" s="39" t="s">
        <v>41</v>
      </c>
      <c r="T86" s="29">
        <v>18000000</v>
      </c>
      <c r="U86" s="29">
        <f>327000000*4</f>
        <v>1308000000</v>
      </c>
      <c r="V86" s="29"/>
      <c r="W86" s="29"/>
      <c r="X86" s="29"/>
      <c r="Y86" s="29">
        <v>200004000</v>
      </c>
      <c r="Z86" s="29">
        <f t="shared" si="1"/>
        <v>1526004000</v>
      </c>
      <c r="AA86" s="42"/>
      <c r="AB86" s="39" t="s">
        <v>442</v>
      </c>
      <c r="AC86" s="39" t="s">
        <v>1256</v>
      </c>
      <c r="AD86" s="39" t="s">
        <v>1257</v>
      </c>
      <c r="AE86" s="39" t="s">
        <v>1258</v>
      </c>
      <c r="AF86" s="100">
        <v>590193786</v>
      </c>
      <c r="AG86" s="17"/>
      <c r="AH86" s="17">
        <v>616000000</v>
      </c>
    </row>
    <row r="87" spans="1:34" ht="99.75">
      <c r="A87" s="51"/>
      <c r="B87" s="40"/>
      <c r="C87" s="42"/>
      <c r="D87" s="42"/>
      <c r="E87" s="42"/>
      <c r="F87" s="42"/>
      <c r="G87" s="42"/>
      <c r="H87" s="42"/>
      <c r="I87" s="42"/>
      <c r="J87" s="39" t="s">
        <v>843</v>
      </c>
      <c r="K87" s="39">
        <v>25</v>
      </c>
      <c r="L87" s="39">
        <v>125</v>
      </c>
      <c r="M87" s="39" t="s">
        <v>627</v>
      </c>
      <c r="N87" s="39">
        <v>50</v>
      </c>
      <c r="O87" s="39">
        <v>75</v>
      </c>
      <c r="P87" s="39">
        <v>100</v>
      </c>
      <c r="Q87" s="39">
        <v>125</v>
      </c>
      <c r="R87" s="39"/>
      <c r="S87" s="39" t="s">
        <v>41</v>
      </c>
      <c r="T87" s="29"/>
      <c r="U87" s="29"/>
      <c r="V87" s="29"/>
      <c r="W87" s="29"/>
      <c r="X87" s="29"/>
      <c r="Y87" s="29">
        <f>56100000*4</f>
        <v>224400000</v>
      </c>
      <c r="Z87" s="29">
        <f t="shared" si="1"/>
        <v>224400000</v>
      </c>
      <c r="AA87" s="42"/>
      <c r="AB87" s="39" t="s">
        <v>443</v>
      </c>
      <c r="AC87" s="39" t="s">
        <v>1259</v>
      </c>
      <c r="AD87" s="39" t="s">
        <v>1249</v>
      </c>
      <c r="AE87" s="39" t="s">
        <v>1260</v>
      </c>
      <c r="AF87" s="100">
        <v>586918324</v>
      </c>
      <c r="AG87" s="17"/>
      <c r="AH87" s="17">
        <v>210500000</v>
      </c>
    </row>
    <row r="88" spans="1:34" ht="28.5">
      <c r="A88" s="51"/>
      <c r="B88" s="40"/>
      <c r="C88" s="42"/>
      <c r="D88" s="42"/>
      <c r="E88" s="42"/>
      <c r="F88" s="42"/>
      <c r="G88" s="42"/>
      <c r="H88" s="42"/>
      <c r="I88" s="42"/>
      <c r="J88" s="39" t="s">
        <v>844</v>
      </c>
      <c r="K88" s="39">
        <v>0</v>
      </c>
      <c r="L88" s="39">
        <v>2</v>
      </c>
      <c r="M88" s="39" t="s">
        <v>627</v>
      </c>
      <c r="N88" s="39">
        <v>0</v>
      </c>
      <c r="O88" s="39">
        <v>1</v>
      </c>
      <c r="P88" s="39">
        <v>0</v>
      </c>
      <c r="Q88" s="39">
        <v>2</v>
      </c>
      <c r="R88" s="39"/>
      <c r="S88" s="39" t="s">
        <v>41</v>
      </c>
      <c r="T88" s="29">
        <v>2000000</v>
      </c>
      <c r="U88" s="29"/>
      <c r="V88" s="29"/>
      <c r="W88" s="29"/>
      <c r="X88" s="29"/>
      <c r="Y88" s="29"/>
      <c r="Z88" s="29">
        <f t="shared" si="1"/>
        <v>2000000</v>
      </c>
      <c r="AA88" s="42"/>
      <c r="AB88" s="39" t="s">
        <v>444</v>
      </c>
      <c r="AC88" s="39" t="s">
        <v>1261</v>
      </c>
      <c r="AD88" s="39"/>
      <c r="AE88" s="39" t="s">
        <v>1262</v>
      </c>
      <c r="AF88" s="17">
        <v>0</v>
      </c>
      <c r="AG88" s="17"/>
      <c r="AH88" s="17">
        <v>2000000</v>
      </c>
    </row>
    <row r="89" spans="1:34">
      <c r="A89" s="51"/>
      <c r="B89" s="40"/>
      <c r="C89" s="42"/>
      <c r="D89" s="42"/>
      <c r="E89" s="42"/>
      <c r="F89" s="42"/>
      <c r="G89" s="42"/>
      <c r="H89" s="42"/>
      <c r="I89" s="42"/>
      <c r="J89" s="39" t="s">
        <v>845</v>
      </c>
      <c r="K89" s="39">
        <v>1</v>
      </c>
      <c r="L89" s="39">
        <v>3</v>
      </c>
      <c r="M89" s="39" t="s">
        <v>627</v>
      </c>
      <c r="N89" s="39">
        <v>0</v>
      </c>
      <c r="O89" s="39">
        <v>1</v>
      </c>
      <c r="P89" s="39">
        <v>0</v>
      </c>
      <c r="Q89" s="39">
        <v>2</v>
      </c>
      <c r="R89" s="39"/>
      <c r="S89" s="39" t="s">
        <v>41</v>
      </c>
      <c r="T89" s="29">
        <v>2000000</v>
      </c>
      <c r="U89" s="29"/>
      <c r="V89" s="29"/>
      <c r="W89" s="29"/>
      <c r="X89" s="29"/>
      <c r="Y89" s="29"/>
      <c r="Z89" s="29">
        <f t="shared" si="1"/>
        <v>2000000</v>
      </c>
      <c r="AA89" s="42"/>
      <c r="AB89" s="39" t="s">
        <v>445</v>
      </c>
      <c r="AC89" s="39" t="s">
        <v>1263</v>
      </c>
      <c r="AD89" s="39"/>
      <c r="AE89" s="39" t="s">
        <v>1264</v>
      </c>
      <c r="AF89" s="17">
        <v>0</v>
      </c>
      <c r="AG89" s="17"/>
      <c r="AH89" s="17">
        <v>2000000</v>
      </c>
    </row>
    <row r="90" spans="1:34" ht="42.75">
      <c r="A90" s="51"/>
      <c r="B90" s="40"/>
      <c r="C90" s="42"/>
      <c r="D90" s="42"/>
      <c r="E90" s="42"/>
      <c r="F90" s="42"/>
      <c r="G90" s="42"/>
      <c r="H90" s="42"/>
      <c r="I90" s="42"/>
      <c r="J90" s="39" t="s">
        <v>846</v>
      </c>
      <c r="K90" s="39">
        <v>2</v>
      </c>
      <c r="L90" s="39">
        <v>10</v>
      </c>
      <c r="M90" s="39" t="s">
        <v>627</v>
      </c>
      <c r="N90" s="39">
        <v>4</v>
      </c>
      <c r="O90" s="39">
        <v>6</v>
      </c>
      <c r="P90" s="39">
        <v>8</v>
      </c>
      <c r="Q90" s="39">
        <v>10</v>
      </c>
      <c r="R90" s="39"/>
      <c r="S90" s="39" t="s">
        <v>41</v>
      </c>
      <c r="T90" s="29">
        <v>4000000</v>
      </c>
      <c r="U90" s="29"/>
      <c r="V90" s="29"/>
      <c r="W90" s="29"/>
      <c r="X90" s="29"/>
      <c r="Y90" s="29">
        <v>240000000</v>
      </c>
      <c r="Z90" s="29">
        <f t="shared" si="1"/>
        <v>244000000</v>
      </c>
      <c r="AA90" s="42"/>
      <c r="AB90" s="39" t="s">
        <v>446</v>
      </c>
      <c r="AC90" s="39" t="s">
        <v>1265</v>
      </c>
      <c r="AD90" s="39" t="s">
        <v>1249</v>
      </c>
      <c r="AE90" s="39" t="s">
        <v>1266</v>
      </c>
      <c r="AF90" s="17">
        <v>0</v>
      </c>
      <c r="AG90" s="17"/>
      <c r="AH90" s="17">
        <v>8000000</v>
      </c>
    </row>
    <row r="91" spans="1:34" ht="28.5">
      <c r="A91" s="51"/>
      <c r="B91" s="40"/>
      <c r="C91" s="42"/>
      <c r="D91" s="42"/>
      <c r="E91" s="42"/>
      <c r="F91" s="42"/>
      <c r="G91" s="42"/>
      <c r="H91" s="42"/>
      <c r="I91" s="42"/>
      <c r="J91" s="39" t="s">
        <v>847</v>
      </c>
      <c r="K91" s="39">
        <v>0</v>
      </c>
      <c r="L91" s="39">
        <v>8</v>
      </c>
      <c r="M91" s="39" t="s">
        <v>627</v>
      </c>
      <c r="N91" s="39">
        <v>2</v>
      </c>
      <c r="O91" s="39">
        <v>4</v>
      </c>
      <c r="P91" s="39">
        <v>6</v>
      </c>
      <c r="Q91" s="39">
        <v>8</v>
      </c>
      <c r="R91" s="39"/>
      <c r="S91" s="39" t="s">
        <v>41</v>
      </c>
      <c r="T91" s="29"/>
      <c r="U91" s="29"/>
      <c r="V91" s="29"/>
      <c r="W91" s="29"/>
      <c r="X91" s="29"/>
      <c r="Y91" s="29">
        <v>120000000</v>
      </c>
      <c r="Z91" s="29">
        <f t="shared" si="1"/>
        <v>120000000</v>
      </c>
      <c r="AA91" s="42"/>
      <c r="AB91" s="39" t="s">
        <v>447</v>
      </c>
      <c r="AC91" s="39" t="s">
        <v>1267</v>
      </c>
      <c r="AD91" s="39" t="s">
        <v>1249</v>
      </c>
      <c r="AE91" s="39"/>
      <c r="AF91" s="17">
        <v>9819422</v>
      </c>
      <c r="AG91" s="17"/>
      <c r="AH91" s="17">
        <v>61000000</v>
      </c>
    </row>
    <row r="92" spans="1:34" ht="42.75">
      <c r="A92" s="51"/>
      <c r="B92" s="40"/>
      <c r="C92" s="42"/>
      <c r="D92" s="42"/>
      <c r="E92" s="42"/>
      <c r="F92" s="42"/>
      <c r="G92" s="42"/>
      <c r="H92" s="42"/>
      <c r="I92" s="42"/>
      <c r="J92" s="39" t="s">
        <v>848</v>
      </c>
      <c r="K92" s="39">
        <v>2</v>
      </c>
      <c r="L92" s="39">
        <v>7</v>
      </c>
      <c r="M92" s="39" t="s">
        <v>627</v>
      </c>
      <c r="N92" s="39">
        <v>3</v>
      </c>
      <c r="O92" s="39">
        <v>4</v>
      </c>
      <c r="P92" s="39">
        <v>5</v>
      </c>
      <c r="Q92" s="39">
        <v>7</v>
      </c>
      <c r="R92" s="39"/>
      <c r="S92" s="39" t="s">
        <v>41</v>
      </c>
      <c r="T92" s="29">
        <v>10000000</v>
      </c>
      <c r="U92" s="29"/>
      <c r="V92" s="29"/>
      <c r="W92" s="29"/>
      <c r="X92" s="29"/>
      <c r="Y92" s="29">
        <v>60000000</v>
      </c>
      <c r="Z92" s="29">
        <f t="shared" si="1"/>
        <v>70000000</v>
      </c>
      <c r="AA92" s="42"/>
      <c r="AB92" s="39" t="s">
        <v>448</v>
      </c>
      <c r="AC92" s="39" t="s">
        <v>1268</v>
      </c>
      <c r="AD92" s="39" t="s">
        <v>1269</v>
      </c>
      <c r="AE92" s="39"/>
      <c r="AF92" s="17">
        <v>34000301</v>
      </c>
      <c r="AG92" s="17"/>
      <c r="AH92" s="17">
        <v>34000000</v>
      </c>
    </row>
    <row r="93" spans="1:34" ht="57">
      <c r="A93" s="51"/>
      <c r="B93" s="40"/>
      <c r="C93" s="42"/>
      <c r="D93" s="42"/>
      <c r="E93" s="42"/>
      <c r="F93" s="42"/>
      <c r="G93" s="42"/>
      <c r="H93" s="42"/>
      <c r="I93" s="42"/>
      <c r="J93" s="39" t="s">
        <v>849</v>
      </c>
      <c r="K93" s="39">
        <v>0</v>
      </c>
      <c r="L93" s="39">
        <v>1</v>
      </c>
      <c r="M93" s="39" t="s">
        <v>627</v>
      </c>
      <c r="N93" s="39">
        <v>1</v>
      </c>
      <c r="O93" s="39">
        <v>1</v>
      </c>
      <c r="P93" s="39">
        <v>1</v>
      </c>
      <c r="Q93" s="39">
        <v>1</v>
      </c>
      <c r="R93" s="39"/>
      <c r="S93" s="39" t="s">
        <v>41</v>
      </c>
      <c r="T93" s="29">
        <v>360000000</v>
      </c>
      <c r="U93" s="29"/>
      <c r="V93" s="29"/>
      <c r="W93" s="29"/>
      <c r="X93" s="29"/>
      <c r="Y93" s="29">
        <v>4000000</v>
      </c>
      <c r="Z93" s="29">
        <f t="shared" si="1"/>
        <v>364000000</v>
      </c>
      <c r="AA93" s="42"/>
      <c r="AB93" s="39" t="s">
        <v>449</v>
      </c>
      <c r="AC93" s="39" t="s">
        <v>1270</v>
      </c>
      <c r="AD93" s="39" t="s">
        <v>1271</v>
      </c>
      <c r="AE93" s="39"/>
      <c r="AF93" s="17">
        <v>131256954</v>
      </c>
      <c r="AG93" s="17"/>
      <c r="AH93" s="17">
        <v>104000000</v>
      </c>
    </row>
    <row r="94" spans="1:34" ht="57">
      <c r="A94" s="51"/>
      <c r="B94" s="40" t="s">
        <v>61</v>
      </c>
      <c r="C94" s="42" t="s">
        <v>0</v>
      </c>
      <c r="D94" s="42" t="s">
        <v>243</v>
      </c>
      <c r="E94" s="42" t="s">
        <v>31</v>
      </c>
      <c r="F94" s="43" t="s">
        <v>261</v>
      </c>
      <c r="G94" s="42" t="s">
        <v>262</v>
      </c>
      <c r="H94" s="39" t="s">
        <v>665</v>
      </c>
      <c r="I94" s="39" t="s">
        <v>667</v>
      </c>
      <c r="J94" s="39" t="s">
        <v>850</v>
      </c>
      <c r="K94" s="39">
        <v>0</v>
      </c>
      <c r="L94" s="39">
        <v>4</v>
      </c>
      <c r="M94" s="39" t="s">
        <v>627</v>
      </c>
      <c r="N94" s="39">
        <v>1</v>
      </c>
      <c r="O94" s="39">
        <v>2</v>
      </c>
      <c r="P94" s="39">
        <v>3</v>
      </c>
      <c r="Q94" s="39">
        <v>4</v>
      </c>
      <c r="R94" s="39"/>
      <c r="S94" s="39" t="s">
        <v>285</v>
      </c>
      <c r="T94" s="29"/>
      <c r="U94" s="29">
        <v>600000000</v>
      </c>
      <c r="V94" s="29"/>
      <c r="W94" s="29"/>
      <c r="X94" s="29"/>
      <c r="Y94" s="29"/>
      <c r="Z94" s="29">
        <f t="shared" si="1"/>
        <v>600000000</v>
      </c>
      <c r="AA94" s="47" t="s">
        <v>32</v>
      </c>
      <c r="AB94" s="39" t="s">
        <v>364</v>
      </c>
      <c r="AC94" s="39"/>
      <c r="AD94" s="39"/>
      <c r="AE94" s="39"/>
      <c r="AF94" s="17"/>
      <c r="AG94" s="17"/>
      <c r="AH94" s="17">
        <v>100000000</v>
      </c>
    </row>
    <row r="95" spans="1:34" ht="57">
      <c r="A95" s="51"/>
      <c r="B95" s="40"/>
      <c r="C95" s="42"/>
      <c r="D95" s="42"/>
      <c r="E95" s="42"/>
      <c r="F95" s="43"/>
      <c r="G95" s="42"/>
      <c r="H95" s="39" t="s">
        <v>666</v>
      </c>
      <c r="I95" s="39" t="s">
        <v>668</v>
      </c>
      <c r="J95" s="39" t="s">
        <v>851</v>
      </c>
      <c r="K95" s="39">
        <v>0</v>
      </c>
      <c r="L95" s="39">
        <v>1</v>
      </c>
      <c r="M95" s="39" t="s">
        <v>627</v>
      </c>
      <c r="N95" s="39">
        <v>1</v>
      </c>
      <c r="O95" s="39">
        <v>1</v>
      </c>
      <c r="P95" s="39">
        <v>1</v>
      </c>
      <c r="Q95" s="39">
        <v>1</v>
      </c>
      <c r="R95" s="39"/>
      <c r="S95" s="39" t="s">
        <v>285</v>
      </c>
      <c r="T95" s="29"/>
      <c r="U95" s="29">
        <v>466000000</v>
      </c>
      <c r="V95" s="29"/>
      <c r="W95" s="29"/>
      <c r="X95" s="29"/>
      <c r="Y95" s="29"/>
      <c r="Z95" s="29">
        <f t="shared" si="1"/>
        <v>466000000</v>
      </c>
      <c r="AA95" s="49"/>
      <c r="AB95" s="15" t="s">
        <v>365</v>
      </c>
      <c r="AC95" s="39"/>
      <c r="AD95" s="39"/>
      <c r="AE95" s="39"/>
      <c r="AF95" s="17"/>
      <c r="AG95" s="17"/>
      <c r="AH95" s="17">
        <v>320382500</v>
      </c>
    </row>
    <row r="96" spans="1:34" ht="28.5">
      <c r="A96" s="51"/>
      <c r="B96" s="40"/>
      <c r="C96" s="42" t="s">
        <v>232</v>
      </c>
      <c r="D96" s="42" t="s">
        <v>242</v>
      </c>
      <c r="E96" s="42" t="s">
        <v>192</v>
      </c>
      <c r="F96" s="43" t="s">
        <v>614</v>
      </c>
      <c r="G96" s="42" t="s">
        <v>263</v>
      </c>
      <c r="H96" s="42" t="s">
        <v>35</v>
      </c>
      <c r="I96" s="42" t="s">
        <v>669</v>
      </c>
      <c r="J96" s="39" t="s">
        <v>618</v>
      </c>
      <c r="K96" s="39">
        <v>0</v>
      </c>
      <c r="L96" s="39">
        <v>1</v>
      </c>
      <c r="M96" s="39" t="s">
        <v>627</v>
      </c>
      <c r="N96" s="39">
        <v>0.25</v>
      </c>
      <c r="O96" s="39">
        <v>0.5</v>
      </c>
      <c r="P96" s="39">
        <v>0.75</v>
      </c>
      <c r="Q96" s="39">
        <v>1</v>
      </c>
      <c r="R96" s="39"/>
      <c r="S96" s="39" t="s">
        <v>285</v>
      </c>
      <c r="T96" s="41"/>
      <c r="U96" s="41">
        <v>300000000</v>
      </c>
      <c r="V96" s="41"/>
      <c r="W96" s="41"/>
      <c r="X96" s="41"/>
      <c r="Y96" s="41"/>
      <c r="Z96" s="41">
        <f t="shared" si="1"/>
        <v>300000000</v>
      </c>
      <c r="AA96" s="47" t="s">
        <v>366</v>
      </c>
      <c r="AB96" s="39" t="s">
        <v>369</v>
      </c>
      <c r="AC96" s="39"/>
      <c r="AD96" s="39"/>
      <c r="AE96" s="39"/>
      <c r="AF96" s="99"/>
      <c r="AG96" s="99"/>
      <c r="AH96" s="17">
        <v>75000000</v>
      </c>
    </row>
    <row r="97" spans="1:34" ht="28.5">
      <c r="A97" s="51"/>
      <c r="B97" s="40"/>
      <c r="C97" s="42"/>
      <c r="D97" s="42"/>
      <c r="E97" s="42"/>
      <c r="F97" s="43"/>
      <c r="G97" s="42"/>
      <c r="H97" s="42"/>
      <c r="I97" s="42"/>
      <c r="J97" s="39" t="s">
        <v>852</v>
      </c>
      <c r="K97" s="39">
        <v>0</v>
      </c>
      <c r="L97" s="39">
        <v>4</v>
      </c>
      <c r="M97" s="39" t="s">
        <v>627</v>
      </c>
      <c r="N97" s="39">
        <v>1</v>
      </c>
      <c r="O97" s="39">
        <v>2</v>
      </c>
      <c r="P97" s="39">
        <v>3</v>
      </c>
      <c r="Q97" s="39">
        <v>4</v>
      </c>
      <c r="R97" s="39"/>
      <c r="S97" s="39" t="s">
        <v>285</v>
      </c>
      <c r="T97" s="41"/>
      <c r="U97" s="41"/>
      <c r="V97" s="41"/>
      <c r="W97" s="41"/>
      <c r="X97" s="41"/>
      <c r="Y97" s="41"/>
      <c r="Z97" s="41">
        <f t="shared" si="1"/>
        <v>0</v>
      </c>
      <c r="AA97" s="48"/>
      <c r="AB97" s="39" t="s">
        <v>367</v>
      </c>
      <c r="AC97" s="39"/>
      <c r="AD97" s="39"/>
      <c r="AE97" s="39"/>
      <c r="AF97" s="99"/>
      <c r="AG97" s="99"/>
      <c r="AH97" s="17">
        <v>20000000</v>
      </c>
    </row>
    <row r="98" spans="1:34" ht="28.5">
      <c r="A98" s="51"/>
      <c r="B98" s="40"/>
      <c r="C98" s="42"/>
      <c r="D98" s="42"/>
      <c r="E98" s="42"/>
      <c r="F98" s="43"/>
      <c r="G98" s="42"/>
      <c r="H98" s="42"/>
      <c r="I98" s="39" t="s">
        <v>670</v>
      </c>
      <c r="J98" s="39" t="s">
        <v>853</v>
      </c>
      <c r="K98" s="39">
        <v>0</v>
      </c>
      <c r="L98" s="39">
        <v>1</v>
      </c>
      <c r="M98" s="39" t="s">
        <v>627</v>
      </c>
      <c r="N98" s="39">
        <v>0</v>
      </c>
      <c r="O98" s="39">
        <v>1</v>
      </c>
      <c r="P98" s="39">
        <v>0</v>
      </c>
      <c r="Q98" s="39">
        <v>0</v>
      </c>
      <c r="R98" s="39"/>
      <c r="S98" s="39" t="s">
        <v>285</v>
      </c>
      <c r="T98" s="29"/>
      <c r="U98" s="29">
        <v>120000000</v>
      </c>
      <c r="V98" s="29"/>
      <c r="W98" s="29"/>
      <c r="X98" s="29"/>
      <c r="Y98" s="29"/>
      <c r="Z98" s="29">
        <f t="shared" si="1"/>
        <v>120000000</v>
      </c>
      <c r="AA98" s="49"/>
      <c r="AB98" s="39" t="s">
        <v>368</v>
      </c>
      <c r="AC98" s="39"/>
      <c r="AD98" s="39"/>
      <c r="AE98" s="39"/>
      <c r="AF98" s="17"/>
      <c r="AG98" s="17"/>
      <c r="AH98" s="17">
        <v>10000000</v>
      </c>
    </row>
    <row r="99" spans="1:34" ht="85.5">
      <c r="A99" s="51"/>
      <c r="B99" s="40"/>
      <c r="C99" s="39" t="s">
        <v>115</v>
      </c>
      <c r="D99" s="39" t="s">
        <v>584</v>
      </c>
      <c r="E99" s="39" t="s">
        <v>26</v>
      </c>
      <c r="F99" s="32" t="s">
        <v>154</v>
      </c>
      <c r="G99" s="39" t="s">
        <v>143</v>
      </c>
      <c r="H99" s="39" t="s">
        <v>33</v>
      </c>
      <c r="I99" s="39" t="s">
        <v>141</v>
      </c>
      <c r="J99" s="39" t="s">
        <v>142</v>
      </c>
      <c r="K99" s="39">
        <v>3</v>
      </c>
      <c r="L99" s="39">
        <v>21</v>
      </c>
      <c r="M99" s="39" t="s">
        <v>627</v>
      </c>
      <c r="N99" s="39">
        <v>3</v>
      </c>
      <c r="O99" s="39">
        <v>9</v>
      </c>
      <c r="P99" s="39">
        <v>15</v>
      </c>
      <c r="Q99" s="39">
        <v>21</v>
      </c>
      <c r="R99" s="39"/>
      <c r="S99" s="39" t="s">
        <v>285</v>
      </c>
      <c r="T99" s="29"/>
      <c r="U99" s="29">
        <v>1015000000</v>
      </c>
      <c r="V99" s="29"/>
      <c r="W99" s="29"/>
      <c r="X99" s="29"/>
      <c r="Y99" s="29"/>
      <c r="Z99" s="29">
        <f t="shared" si="1"/>
        <v>1015000000</v>
      </c>
      <c r="AA99" s="39" t="s">
        <v>671</v>
      </c>
      <c r="AB99" s="15" t="s">
        <v>370</v>
      </c>
      <c r="AC99" s="39"/>
      <c r="AD99" s="39"/>
      <c r="AE99" s="39"/>
      <c r="AF99" s="17"/>
      <c r="AG99" s="17"/>
      <c r="AH99" s="17">
        <v>147008998</v>
      </c>
    </row>
    <row r="100" spans="1:34" ht="42.75">
      <c r="A100" s="51"/>
      <c r="B100" s="40"/>
      <c r="C100" s="41" t="s">
        <v>573</v>
      </c>
      <c r="D100" s="41" t="s">
        <v>585</v>
      </c>
      <c r="E100" s="42" t="s">
        <v>28</v>
      </c>
      <c r="F100" s="43" t="s">
        <v>102</v>
      </c>
      <c r="G100" s="42" t="s">
        <v>172</v>
      </c>
      <c r="H100" s="42" t="s">
        <v>116</v>
      </c>
      <c r="I100" s="39" t="s">
        <v>672</v>
      </c>
      <c r="J100" s="39" t="s">
        <v>854</v>
      </c>
      <c r="K100" s="32">
        <v>1</v>
      </c>
      <c r="L100" s="32">
        <v>1</v>
      </c>
      <c r="M100" s="39" t="s">
        <v>628</v>
      </c>
      <c r="N100" s="32">
        <v>1</v>
      </c>
      <c r="O100" s="32">
        <v>1</v>
      </c>
      <c r="P100" s="32">
        <v>1</v>
      </c>
      <c r="Q100" s="32">
        <v>1</v>
      </c>
      <c r="R100" s="32"/>
      <c r="S100" s="39" t="s">
        <v>285</v>
      </c>
      <c r="T100" s="2"/>
      <c r="U100" s="2">
        <v>1190000000</v>
      </c>
      <c r="V100" s="2"/>
      <c r="W100" s="2"/>
      <c r="X100" s="2"/>
      <c r="Y100" s="29"/>
      <c r="Z100" s="29">
        <f t="shared" si="1"/>
        <v>1190000000</v>
      </c>
      <c r="AA100" s="47" t="s">
        <v>334</v>
      </c>
      <c r="AB100" s="39" t="s">
        <v>372</v>
      </c>
      <c r="AC100" s="39"/>
      <c r="AD100" s="39"/>
      <c r="AE100" s="39"/>
      <c r="AF100" s="99"/>
      <c r="AG100" s="99"/>
      <c r="AH100" s="17">
        <v>260000000</v>
      </c>
    </row>
    <row r="101" spans="1:34" ht="28.5">
      <c r="A101" s="51"/>
      <c r="B101" s="40"/>
      <c r="C101" s="41"/>
      <c r="D101" s="41"/>
      <c r="E101" s="42"/>
      <c r="F101" s="43"/>
      <c r="G101" s="42"/>
      <c r="H101" s="42"/>
      <c r="I101" s="39" t="s">
        <v>673</v>
      </c>
      <c r="J101" s="39" t="s">
        <v>855</v>
      </c>
      <c r="K101" s="39">
        <v>3</v>
      </c>
      <c r="L101" s="39">
        <v>6</v>
      </c>
      <c r="M101" s="39" t="s">
        <v>627</v>
      </c>
      <c r="N101" s="39">
        <v>0</v>
      </c>
      <c r="O101" s="39">
        <v>4</v>
      </c>
      <c r="P101" s="39">
        <v>5</v>
      </c>
      <c r="Q101" s="39">
        <v>6</v>
      </c>
      <c r="R101" s="39"/>
      <c r="S101" s="39" t="s">
        <v>285</v>
      </c>
      <c r="T101" s="2"/>
      <c r="U101" s="2">
        <v>1850000000</v>
      </c>
      <c r="V101" s="2"/>
      <c r="W101" s="2"/>
      <c r="X101" s="2"/>
      <c r="Y101" s="29"/>
      <c r="Z101" s="29">
        <f t="shared" si="1"/>
        <v>1850000000</v>
      </c>
      <c r="AA101" s="48"/>
      <c r="AB101" s="39" t="s">
        <v>371</v>
      </c>
      <c r="AC101" s="39"/>
      <c r="AD101" s="39"/>
      <c r="AE101" s="39"/>
      <c r="AF101" s="99"/>
      <c r="AG101" s="99"/>
      <c r="AH101" s="17">
        <v>963500000</v>
      </c>
    </row>
    <row r="102" spans="1:34" ht="28.5">
      <c r="A102" s="51"/>
      <c r="B102" s="40"/>
      <c r="C102" s="41"/>
      <c r="D102" s="41"/>
      <c r="E102" s="42"/>
      <c r="F102" s="43"/>
      <c r="G102" s="42"/>
      <c r="H102" s="42"/>
      <c r="I102" s="39" t="s">
        <v>674</v>
      </c>
      <c r="J102" s="39" t="s">
        <v>856</v>
      </c>
      <c r="K102" s="39">
        <v>0</v>
      </c>
      <c r="L102" s="39">
        <v>1</v>
      </c>
      <c r="M102" s="39" t="s">
        <v>627</v>
      </c>
      <c r="N102" s="39">
        <v>0</v>
      </c>
      <c r="O102" s="39">
        <v>0.25</v>
      </c>
      <c r="P102" s="39">
        <v>0.5</v>
      </c>
      <c r="Q102" s="39">
        <v>1</v>
      </c>
      <c r="R102" s="39"/>
      <c r="S102" s="39" t="s">
        <v>285</v>
      </c>
      <c r="T102" s="2"/>
      <c r="U102" s="2">
        <v>700000000</v>
      </c>
      <c r="V102" s="2"/>
      <c r="W102" s="2"/>
      <c r="X102" s="2"/>
      <c r="Y102" s="29"/>
      <c r="Z102" s="29">
        <f t="shared" si="1"/>
        <v>700000000</v>
      </c>
      <c r="AA102" s="49"/>
      <c r="AB102" s="39" t="s">
        <v>335</v>
      </c>
      <c r="AC102" s="39"/>
      <c r="AD102" s="39"/>
      <c r="AE102" s="39"/>
      <c r="AF102" s="99"/>
      <c r="AG102" s="99"/>
      <c r="AH102" s="17">
        <v>210000000</v>
      </c>
    </row>
    <row r="103" spans="1:34" ht="114">
      <c r="A103" s="51"/>
      <c r="B103" s="40"/>
      <c r="C103" s="41" t="s">
        <v>574</v>
      </c>
      <c r="D103" s="41" t="s">
        <v>586</v>
      </c>
      <c r="E103" s="42" t="s">
        <v>27</v>
      </c>
      <c r="F103" s="43" t="s">
        <v>264</v>
      </c>
      <c r="G103" s="42" t="s">
        <v>94</v>
      </c>
      <c r="H103" s="39" t="s">
        <v>675</v>
      </c>
      <c r="I103" s="39" t="s">
        <v>677</v>
      </c>
      <c r="J103" s="39" t="s">
        <v>857</v>
      </c>
      <c r="K103" s="39">
        <v>0</v>
      </c>
      <c r="L103" s="39">
        <v>1</v>
      </c>
      <c r="M103" s="39" t="s">
        <v>627</v>
      </c>
      <c r="N103" s="39">
        <v>0</v>
      </c>
      <c r="O103" s="39">
        <v>0.25</v>
      </c>
      <c r="P103" s="39">
        <v>0.5</v>
      </c>
      <c r="Q103" s="39">
        <v>1</v>
      </c>
      <c r="R103" s="39"/>
      <c r="S103" s="39" t="s">
        <v>285</v>
      </c>
      <c r="T103" s="2"/>
      <c r="U103" s="29">
        <v>430000000</v>
      </c>
      <c r="V103" s="29"/>
      <c r="W103" s="29"/>
      <c r="X103" s="29"/>
      <c r="Y103" s="29"/>
      <c r="Z103" s="29">
        <f t="shared" si="1"/>
        <v>430000000</v>
      </c>
      <c r="AA103" s="47" t="s">
        <v>373</v>
      </c>
      <c r="AB103" s="39" t="s">
        <v>374</v>
      </c>
      <c r="AC103" s="39"/>
      <c r="AD103" s="39"/>
      <c r="AE103" s="39"/>
      <c r="AF103" s="99"/>
      <c r="AG103" s="99"/>
      <c r="AH103" s="17">
        <v>107500000</v>
      </c>
    </row>
    <row r="104" spans="1:34" ht="28.5">
      <c r="A104" s="51"/>
      <c r="B104" s="40"/>
      <c r="C104" s="41"/>
      <c r="D104" s="41"/>
      <c r="E104" s="42"/>
      <c r="F104" s="43"/>
      <c r="G104" s="42"/>
      <c r="H104" s="39" t="s">
        <v>676</v>
      </c>
      <c r="I104" s="39" t="s">
        <v>678</v>
      </c>
      <c r="J104" s="39" t="s">
        <v>858</v>
      </c>
      <c r="K104" s="39">
        <v>0</v>
      </c>
      <c r="L104" s="39">
        <v>1</v>
      </c>
      <c r="M104" s="39" t="s">
        <v>627</v>
      </c>
      <c r="N104" s="39">
        <v>0</v>
      </c>
      <c r="O104" s="39">
        <v>1</v>
      </c>
      <c r="P104" s="39">
        <v>0</v>
      </c>
      <c r="Q104" s="39">
        <v>0</v>
      </c>
      <c r="R104" s="39"/>
      <c r="S104" s="39" t="s">
        <v>285</v>
      </c>
      <c r="T104" s="29"/>
      <c r="U104" s="29">
        <v>550000000</v>
      </c>
      <c r="V104" s="29"/>
      <c r="W104" s="29"/>
      <c r="X104" s="29"/>
      <c r="Y104" s="29"/>
      <c r="Z104" s="29">
        <f t="shared" si="1"/>
        <v>550000000</v>
      </c>
      <c r="AA104" s="49"/>
      <c r="AB104" s="15" t="s">
        <v>375</v>
      </c>
      <c r="AC104" s="39"/>
      <c r="AD104" s="39"/>
      <c r="AE104" s="39"/>
      <c r="AF104" s="17"/>
      <c r="AG104" s="17"/>
      <c r="AH104" s="17">
        <v>137500000</v>
      </c>
    </row>
    <row r="105" spans="1:34" ht="28.5">
      <c r="A105" s="51"/>
      <c r="B105" s="40"/>
      <c r="C105" s="41" t="s">
        <v>62</v>
      </c>
      <c r="D105" s="41" t="s">
        <v>587</v>
      </c>
      <c r="E105" s="42" t="s">
        <v>63</v>
      </c>
      <c r="F105" s="43" t="s">
        <v>64</v>
      </c>
      <c r="G105" s="42" t="s">
        <v>65</v>
      </c>
      <c r="H105" s="42" t="s">
        <v>679</v>
      </c>
      <c r="I105" s="42" t="s">
        <v>683</v>
      </c>
      <c r="J105" s="39" t="s">
        <v>207</v>
      </c>
      <c r="K105" s="39">
        <v>0</v>
      </c>
      <c r="L105" s="39">
        <v>2</v>
      </c>
      <c r="M105" s="39" t="s">
        <v>627</v>
      </c>
      <c r="N105" s="39">
        <v>0</v>
      </c>
      <c r="O105" s="39">
        <v>1</v>
      </c>
      <c r="P105" s="39">
        <v>2</v>
      </c>
      <c r="Q105" s="39">
        <v>0</v>
      </c>
      <c r="R105" s="39"/>
      <c r="S105" s="39" t="s">
        <v>285</v>
      </c>
      <c r="T105" s="41"/>
      <c r="U105" s="41">
        <v>271445980</v>
      </c>
      <c r="V105" s="41"/>
      <c r="W105" s="41"/>
      <c r="X105" s="41"/>
      <c r="Y105" s="41"/>
      <c r="Z105" s="41">
        <f t="shared" si="1"/>
        <v>271445980</v>
      </c>
      <c r="AA105" s="47" t="s">
        <v>63</v>
      </c>
      <c r="AB105" s="39" t="s">
        <v>376</v>
      </c>
      <c r="AC105" s="39"/>
      <c r="AD105" s="39"/>
      <c r="AE105" s="39"/>
      <c r="AF105" s="99"/>
      <c r="AG105" s="99"/>
      <c r="AH105" s="17">
        <v>30000000</v>
      </c>
    </row>
    <row r="106" spans="1:34" ht="42.75">
      <c r="A106" s="51"/>
      <c r="B106" s="40"/>
      <c r="C106" s="41"/>
      <c r="D106" s="41"/>
      <c r="E106" s="42"/>
      <c r="F106" s="43"/>
      <c r="G106" s="42"/>
      <c r="H106" s="42"/>
      <c r="I106" s="42"/>
      <c r="J106" s="39" t="s">
        <v>859</v>
      </c>
      <c r="K106" s="39">
        <v>0</v>
      </c>
      <c r="L106" s="39">
        <v>1</v>
      </c>
      <c r="M106" s="39" t="s">
        <v>627</v>
      </c>
      <c r="N106" s="39">
        <v>0.25</v>
      </c>
      <c r="O106" s="39">
        <v>0.5</v>
      </c>
      <c r="P106" s="39">
        <v>0.75</v>
      </c>
      <c r="Q106" s="39">
        <v>1</v>
      </c>
      <c r="R106" s="39"/>
      <c r="S106" s="39" t="s">
        <v>285</v>
      </c>
      <c r="T106" s="41"/>
      <c r="U106" s="41"/>
      <c r="V106" s="41"/>
      <c r="W106" s="41"/>
      <c r="X106" s="41"/>
      <c r="Y106" s="41"/>
      <c r="Z106" s="41">
        <f t="shared" si="1"/>
        <v>0</v>
      </c>
      <c r="AA106" s="48"/>
      <c r="AB106" s="39" t="s">
        <v>377</v>
      </c>
      <c r="AC106" s="39"/>
      <c r="AD106" s="39"/>
      <c r="AE106" s="39"/>
      <c r="AF106" s="99"/>
      <c r="AG106" s="99"/>
      <c r="AH106" s="17">
        <v>37000000</v>
      </c>
    </row>
    <row r="107" spans="1:34" ht="28.5">
      <c r="A107" s="51"/>
      <c r="B107" s="40"/>
      <c r="C107" s="41"/>
      <c r="D107" s="41"/>
      <c r="E107" s="42"/>
      <c r="F107" s="43"/>
      <c r="G107" s="42"/>
      <c r="H107" s="42"/>
      <c r="I107" s="39" t="s">
        <v>684</v>
      </c>
      <c r="J107" s="39" t="s">
        <v>860</v>
      </c>
      <c r="K107" s="39">
        <v>0</v>
      </c>
      <c r="L107" s="39">
        <v>1</v>
      </c>
      <c r="M107" s="39" t="s">
        <v>627</v>
      </c>
      <c r="N107" s="39">
        <v>0.25</v>
      </c>
      <c r="O107" s="39">
        <v>0.5</v>
      </c>
      <c r="P107" s="39">
        <v>0.75</v>
      </c>
      <c r="Q107" s="39">
        <v>1</v>
      </c>
      <c r="R107" s="39"/>
      <c r="S107" s="39" t="s">
        <v>285</v>
      </c>
      <c r="T107" s="29"/>
      <c r="U107" s="29">
        <v>290000000</v>
      </c>
      <c r="V107" s="29"/>
      <c r="W107" s="29"/>
      <c r="X107" s="29"/>
      <c r="Y107" s="29"/>
      <c r="Z107" s="29">
        <f t="shared" si="1"/>
        <v>290000000</v>
      </c>
      <c r="AA107" s="48"/>
      <c r="AB107" s="15" t="s">
        <v>562</v>
      </c>
      <c r="AC107" s="39"/>
      <c r="AD107" s="39"/>
      <c r="AE107" s="39"/>
      <c r="AF107" s="99"/>
      <c r="AG107" s="17"/>
      <c r="AH107" s="17">
        <v>72500000</v>
      </c>
    </row>
    <row r="108" spans="1:34" ht="28.5">
      <c r="A108" s="51"/>
      <c r="B108" s="40"/>
      <c r="C108" s="41"/>
      <c r="D108" s="41"/>
      <c r="E108" s="42"/>
      <c r="F108" s="43"/>
      <c r="G108" s="42"/>
      <c r="H108" s="42"/>
      <c r="I108" s="39" t="s">
        <v>685</v>
      </c>
      <c r="J108" s="39" t="s">
        <v>861</v>
      </c>
      <c r="K108" s="39">
        <v>0</v>
      </c>
      <c r="L108" s="39">
        <v>1</v>
      </c>
      <c r="M108" s="39" t="s">
        <v>627</v>
      </c>
      <c r="N108" s="39">
        <v>0.25</v>
      </c>
      <c r="O108" s="39">
        <v>0.5</v>
      </c>
      <c r="P108" s="39">
        <v>0.75</v>
      </c>
      <c r="Q108" s="39">
        <v>1</v>
      </c>
      <c r="R108" s="39"/>
      <c r="S108" s="39" t="s">
        <v>285</v>
      </c>
      <c r="T108" s="29"/>
      <c r="U108" s="29">
        <v>310000000</v>
      </c>
      <c r="V108" s="29"/>
      <c r="W108" s="29"/>
      <c r="X108" s="29"/>
      <c r="Y108" s="29"/>
      <c r="Z108" s="29">
        <f t="shared" si="1"/>
        <v>310000000</v>
      </c>
      <c r="AA108" s="48"/>
      <c r="AB108" s="15" t="s">
        <v>563</v>
      </c>
      <c r="AC108" s="39"/>
      <c r="AD108" s="39"/>
      <c r="AE108" s="39"/>
      <c r="AF108" s="99"/>
      <c r="AG108" s="17"/>
      <c r="AH108" s="17">
        <v>20000000</v>
      </c>
    </row>
    <row r="109" spans="1:34">
      <c r="A109" s="51"/>
      <c r="B109" s="40"/>
      <c r="C109" s="41"/>
      <c r="D109" s="41"/>
      <c r="E109" s="42"/>
      <c r="F109" s="43"/>
      <c r="G109" s="42"/>
      <c r="H109" s="42"/>
      <c r="I109" s="39" t="s">
        <v>686</v>
      </c>
      <c r="J109" s="39" t="s">
        <v>862</v>
      </c>
      <c r="K109" s="39">
        <v>0</v>
      </c>
      <c r="L109" s="39">
        <v>1</v>
      </c>
      <c r="M109" s="39" t="s">
        <v>627</v>
      </c>
      <c r="N109" s="39">
        <v>0.25</v>
      </c>
      <c r="O109" s="39">
        <v>0.5</v>
      </c>
      <c r="P109" s="39">
        <v>0.75</v>
      </c>
      <c r="Q109" s="39">
        <v>1</v>
      </c>
      <c r="R109" s="39"/>
      <c r="S109" s="39" t="s">
        <v>285</v>
      </c>
      <c r="T109" s="29"/>
      <c r="U109" s="29">
        <v>1330000000</v>
      </c>
      <c r="V109" s="29"/>
      <c r="W109" s="29"/>
      <c r="X109" s="29"/>
      <c r="Y109" s="29"/>
      <c r="Z109" s="29">
        <f t="shared" si="1"/>
        <v>1330000000</v>
      </c>
      <c r="AA109" s="48"/>
      <c r="AB109" s="15" t="s">
        <v>564</v>
      </c>
      <c r="AC109" s="39"/>
      <c r="AD109" s="39"/>
      <c r="AE109" s="39"/>
      <c r="AF109" s="99"/>
      <c r="AG109" s="17"/>
      <c r="AH109" s="17">
        <v>150000000</v>
      </c>
    </row>
    <row r="110" spans="1:34" ht="28.5">
      <c r="A110" s="51"/>
      <c r="B110" s="40"/>
      <c r="C110" s="41"/>
      <c r="D110" s="41"/>
      <c r="E110" s="42"/>
      <c r="F110" s="43"/>
      <c r="G110" s="42"/>
      <c r="H110" s="42"/>
      <c r="I110" s="39" t="s">
        <v>687</v>
      </c>
      <c r="J110" s="39" t="s">
        <v>863</v>
      </c>
      <c r="K110" s="39">
        <v>0</v>
      </c>
      <c r="L110" s="39">
        <v>1</v>
      </c>
      <c r="M110" s="39" t="s">
        <v>627</v>
      </c>
      <c r="N110" s="39">
        <v>0.25</v>
      </c>
      <c r="O110" s="39">
        <v>0.5</v>
      </c>
      <c r="P110" s="39">
        <v>0.75</v>
      </c>
      <c r="Q110" s="39">
        <v>1</v>
      </c>
      <c r="R110" s="39"/>
      <c r="S110" s="39" t="s">
        <v>285</v>
      </c>
      <c r="T110" s="29"/>
      <c r="U110" s="29">
        <v>760000000</v>
      </c>
      <c r="V110" s="29"/>
      <c r="W110" s="29"/>
      <c r="X110" s="29"/>
      <c r="Y110" s="29"/>
      <c r="Z110" s="29">
        <f t="shared" si="1"/>
        <v>760000000</v>
      </c>
      <c r="AA110" s="48"/>
      <c r="AB110" s="39" t="s">
        <v>565</v>
      </c>
      <c r="AC110" s="39"/>
      <c r="AD110" s="39"/>
      <c r="AE110" s="39"/>
      <c r="AF110" s="99"/>
      <c r="AG110" s="17"/>
      <c r="AH110" s="17">
        <v>150000000</v>
      </c>
    </row>
    <row r="111" spans="1:34">
      <c r="A111" s="51"/>
      <c r="B111" s="40"/>
      <c r="C111" s="41"/>
      <c r="D111" s="41"/>
      <c r="E111" s="42"/>
      <c r="F111" s="43"/>
      <c r="G111" s="42"/>
      <c r="H111" s="42"/>
      <c r="I111" s="42" t="s">
        <v>688</v>
      </c>
      <c r="J111" s="39" t="s">
        <v>864</v>
      </c>
      <c r="K111" s="39">
        <v>0</v>
      </c>
      <c r="L111" s="39">
        <v>1</v>
      </c>
      <c r="M111" s="39" t="s">
        <v>627</v>
      </c>
      <c r="N111" s="39">
        <v>0.25</v>
      </c>
      <c r="O111" s="39">
        <v>0.5</v>
      </c>
      <c r="P111" s="39">
        <v>0.75</v>
      </c>
      <c r="Q111" s="39">
        <v>1</v>
      </c>
      <c r="R111" s="39"/>
      <c r="S111" s="39" t="s">
        <v>285</v>
      </c>
      <c r="T111" s="29"/>
      <c r="U111" s="29">
        <v>1350000000</v>
      </c>
      <c r="V111" s="29"/>
      <c r="W111" s="29"/>
      <c r="X111" s="29"/>
      <c r="Y111" s="29"/>
      <c r="Z111" s="29">
        <f t="shared" si="1"/>
        <v>1350000000</v>
      </c>
      <c r="AA111" s="48"/>
      <c r="AB111" s="39" t="s">
        <v>378</v>
      </c>
      <c r="AC111" s="39"/>
      <c r="AD111" s="39"/>
      <c r="AE111" s="39"/>
      <c r="AF111" s="99"/>
      <c r="AG111" s="17"/>
      <c r="AH111" s="17">
        <v>60000000</v>
      </c>
    </row>
    <row r="112" spans="1:34">
      <c r="A112" s="51"/>
      <c r="B112" s="40"/>
      <c r="C112" s="41"/>
      <c r="D112" s="41"/>
      <c r="E112" s="42"/>
      <c r="F112" s="43"/>
      <c r="G112" s="42"/>
      <c r="H112" s="42"/>
      <c r="I112" s="42"/>
      <c r="J112" s="39" t="s">
        <v>865</v>
      </c>
      <c r="K112" s="39">
        <v>0</v>
      </c>
      <c r="L112" s="39">
        <v>1</v>
      </c>
      <c r="M112" s="39" t="s">
        <v>627</v>
      </c>
      <c r="N112" s="39">
        <v>0</v>
      </c>
      <c r="O112" s="39">
        <v>1</v>
      </c>
      <c r="P112" s="39">
        <v>0</v>
      </c>
      <c r="Q112" s="39">
        <v>0</v>
      </c>
      <c r="R112" s="39"/>
      <c r="S112" s="39" t="s">
        <v>285</v>
      </c>
      <c r="T112" s="29"/>
      <c r="U112" s="29"/>
      <c r="V112" s="29"/>
      <c r="W112" s="29"/>
      <c r="X112" s="29"/>
      <c r="Y112" s="29"/>
      <c r="Z112" s="29">
        <f t="shared" si="1"/>
        <v>0</v>
      </c>
      <c r="AA112" s="48"/>
      <c r="AB112" s="39" t="s">
        <v>566</v>
      </c>
      <c r="AC112" s="39"/>
      <c r="AD112" s="39"/>
      <c r="AE112" s="39"/>
      <c r="AF112" s="99"/>
      <c r="AG112" s="17"/>
      <c r="AH112" s="17">
        <v>37500000</v>
      </c>
    </row>
    <row r="113" spans="1:34">
      <c r="A113" s="51"/>
      <c r="B113" s="40"/>
      <c r="C113" s="41"/>
      <c r="D113" s="41"/>
      <c r="E113" s="42"/>
      <c r="F113" s="43"/>
      <c r="G113" s="42"/>
      <c r="H113" s="42"/>
      <c r="I113" s="42"/>
      <c r="J113" s="39" t="s">
        <v>866</v>
      </c>
      <c r="K113" s="39">
        <v>0</v>
      </c>
      <c r="L113" s="39">
        <v>1</v>
      </c>
      <c r="M113" s="39" t="s">
        <v>627</v>
      </c>
      <c r="N113" s="39">
        <v>0</v>
      </c>
      <c r="O113" s="39">
        <v>1</v>
      </c>
      <c r="P113" s="39">
        <v>0</v>
      </c>
      <c r="Q113" s="39">
        <v>0</v>
      </c>
      <c r="R113" s="39"/>
      <c r="S113" s="39" t="s">
        <v>285</v>
      </c>
      <c r="T113" s="2"/>
      <c r="U113" s="2">
        <v>160000000</v>
      </c>
      <c r="V113" s="2"/>
      <c r="W113" s="2"/>
      <c r="X113" s="2"/>
      <c r="Y113" s="2"/>
      <c r="Z113" s="2">
        <f t="shared" si="1"/>
        <v>160000000</v>
      </c>
      <c r="AA113" s="48"/>
      <c r="AB113" s="39" t="s">
        <v>567</v>
      </c>
      <c r="AC113" s="39"/>
      <c r="AD113" s="39"/>
      <c r="AE113" s="39"/>
      <c r="AF113" s="99"/>
      <c r="AG113" s="99"/>
      <c r="AH113" s="17">
        <v>90000000</v>
      </c>
    </row>
    <row r="114" spans="1:34" ht="28.5">
      <c r="A114" s="51"/>
      <c r="B114" s="40"/>
      <c r="C114" s="41"/>
      <c r="D114" s="41"/>
      <c r="E114" s="42"/>
      <c r="F114" s="43"/>
      <c r="G114" s="42"/>
      <c r="H114" s="39" t="s">
        <v>680</v>
      </c>
      <c r="I114" s="39" t="s">
        <v>689</v>
      </c>
      <c r="J114" s="39" t="s">
        <v>867</v>
      </c>
      <c r="K114" s="39">
        <v>1</v>
      </c>
      <c r="L114" s="39">
        <v>2</v>
      </c>
      <c r="M114" s="39" t="s">
        <v>627</v>
      </c>
      <c r="N114" s="39">
        <v>0</v>
      </c>
      <c r="O114" s="39">
        <v>2</v>
      </c>
      <c r="P114" s="39">
        <v>0</v>
      </c>
      <c r="Q114" s="39">
        <v>0</v>
      </c>
      <c r="R114" s="39"/>
      <c r="S114" s="39" t="s">
        <v>285</v>
      </c>
      <c r="T114" s="29"/>
      <c r="U114" s="29">
        <v>190000000</v>
      </c>
      <c r="V114" s="29"/>
      <c r="W114" s="29"/>
      <c r="X114" s="29"/>
      <c r="Y114" s="29"/>
      <c r="Z114" s="29">
        <f t="shared" si="1"/>
        <v>190000000</v>
      </c>
      <c r="AA114" s="48"/>
      <c r="AB114" s="15" t="s">
        <v>379</v>
      </c>
      <c r="AC114" s="39"/>
      <c r="AD114" s="39"/>
      <c r="AE114" s="39"/>
      <c r="AF114" s="99"/>
      <c r="AG114" s="17"/>
      <c r="AH114" s="17">
        <v>47500000</v>
      </c>
    </row>
    <row r="115" spans="1:34" ht="57">
      <c r="A115" s="51"/>
      <c r="B115" s="40"/>
      <c r="C115" s="41"/>
      <c r="D115" s="41"/>
      <c r="E115" s="42"/>
      <c r="F115" s="43"/>
      <c r="G115" s="42"/>
      <c r="H115" s="39" t="s">
        <v>681</v>
      </c>
      <c r="I115" s="39" t="s">
        <v>690</v>
      </c>
      <c r="J115" s="39" t="s">
        <v>868</v>
      </c>
      <c r="K115" s="32">
        <v>0.4</v>
      </c>
      <c r="L115" s="32">
        <v>1</v>
      </c>
      <c r="M115" s="39" t="s">
        <v>627</v>
      </c>
      <c r="N115" s="32">
        <v>0.5</v>
      </c>
      <c r="O115" s="32">
        <v>0.6</v>
      </c>
      <c r="P115" s="32">
        <v>0.8</v>
      </c>
      <c r="Q115" s="32">
        <v>1</v>
      </c>
      <c r="R115" s="32"/>
      <c r="S115" s="39" t="s">
        <v>285</v>
      </c>
      <c r="T115" s="29"/>
      <c r="U115" s="29">
        <v>1250000000</v>
      </c>
      <c r="V115" s="29"/>
      <c r="W115" s="29"/>
      <c r="X115" s="29"/>
      <c r="Y115" s="29"/>
      <c r="Z115" s="29">
        <f t="shared" si="1"/>
        <v>1250000000</v>
      </c>
      <c r="AA115" s="48"/>
      <c r="AB115" s="15" t="s">
        <v>380</v>
      </c>
      <c r="AC115" s="39"/>
      <c r="AD115" s="39"/>
      <c r="AE115" s="39"/>
      <c r="AF115" s="17"/>
      <c r="AG115" s="17"/>
      <c r="AH115" s="17">
        <v>504000000</v>
      </c>
    </row>
    <row r="116" spans="1:34" ht="42.75">
      <c r="A116" s="51"/>
      <c r="B116" s="40"/>
      <c r="C116" s="41"/>
      <c r="D116" s="41"/>
      <c r="E116" s="42"/>
      <c r="F116" s="43"/>
      <c r="G116" s="42"/>
      <c r="H116" s="39" t="s">
        <v>682</v>
      </c>
      <c r="I116" s="39" t="s">
        <v>691</v>
      </c>
      <c r="J116" s="39" t="s">
        <v>869</v>
      </c>
      <c r="K116" s="39">
        <v>0</v>
      </c>
      <c r="L116" s="39">
        <v>1</v>
      </c>
      <c r="M116" s="39" t="s">
        <v>627</v>
      </c>
      <c r="N116" s="39">
        <v>1</v>
      </c>
      <c r="O116" s="39">
        <v>0</v>
      </c>
      <c r="P116" s="39">
        <v>0</v>
      </c>
      <c r="Q116" s="39">
        <v>0</v>
      </c>
      <c r="R116" s="39"/>
      <c r="S116" s="39" t="s">
        <v>285</v>
      </c>
      <c r="T116" s="29">
        <v>2548000000</v>
      </c>
      <c r="U116" s="29"/>
      <c r="V116" s="29"/>
      <c r="W116" s="29"/>
      <c r="X116" s="29"/>
      <c r="Y116" s="29"/>
      <c r="Z116" s="29">
        <f t="shared" si="1"/>
        <v>2548000000</v>
      </c>
      <c r="AA116" s="49"/>
      <c r="AB116" s="15" t="s">
        <v>381</v>
      </c>
      <c r="AC116" s="39"/>
      <c r="AD116" s="39"/>
      <c r="AE116" s="39"/>
      <c r="AF116" s="17"/>
      <c r="AG116" s="17"/>
      <c r="AH116" s="17">
        <v>573908774</v>
      </c>
    </row>
    <row r="117" spans="1:34" ht="99.75">
      <c r="A117" s="51"/>
      <c r="B117" s="40"/>
      <c r="C117" s="42" t="s">
        <v>233</v>
      </c>
      <c r="D117" s="42" t="s">
        <v>588</v>
      </c>
      <c r="E117" s="42" t="s">
        <v>209</v>
      </c>
      <c r="F117" s="43" t="s">
        <v>265</v>
      </c>
      <c r="G117" s="42" t="s">
        <v>210</v>
      </c>
      <c r="H117" s="42" t="s">
        <v>610</v>
      </c>
      <c r="I117" s="42" t="s">
        <v>208</v>
      </c>
      <c r="J117" s="39" t="s">
        <v>870</v>
      </c>
      <c r="K117" s="39">
        <v>0</v>
      </c>
      <c r="L117" s="32">
        <v>1</v>
      </c>
      <c r="M117" s="39" t="s">
        <v>627</v>
      </c>
      <c r="N117" s="32">
        <v>0.25</v>
      </c>
      <c r="O117" s="32">
        <v>0.5</v>
      </c>
      <c r="P117" s="32">
        <v>0.75</v>
      </c>
      <c r="Q117" s="32">
        <v>1</v>
      </c>
      <c r="R117" s="32">
        <v>0.25</v>
      </c>
      <c r="S117" s="32" t="s">
        <v>284</v>
      </c>
      <c r="T117" s="41">
        <v>350000000</v>
      </c>
      <c r="U117" s="41"/>
      <c r="V117" s="41"/>
      <c r="W117" s="41"/>
      <c r="X117" s="41"/>
      <c r="Y117" s="41"/>
      <c r="Z117" s="41">
        <f t="shared" si="1"/>
        <v>350000000</v>
      </c>
      <c r="AA117" s="47" t="s">
        <v>610</v>
      </c>
      <c r="AB117" s="39" t="s">
        <v>338</v>
      </c>
      <c r="AC117" s="80" t="s">
        <v>1278</v>
      </c>
      <c r="AD117" s="39" t="s">
        <v>1279</v>
      </c>
      <c r="AE117" s="86"/>
      <c r="AF117" s="99">
        <v>16800000</v>
      </c>
      <c r="AG117" s="101">
        <v>14800000</v>
      </c>
      <c r="AH117" s="17">
        <v>30000000</v>
      </c>
    </row>
    <row r="118" spans="1:34" ht="85.5">
      <c r="A118" s="51"/>
      <c r="B118" s="40"/>
      <c r="C118" s="42"/>
      <c r="D118" s="42"/>
      <c r="E118" s="42"/>
      <c r="F118" s="43"/>
      <c r="G118" s="42"/>
      <c r="H118" s="42"/>
      <c r="I118" s="42"/>
      <c r="J118" s="39" t="s">
        <v>871</v>
      </c>
      <c r="K118" s="39">
        <v>0</v>
      </c>
      <c r="L118" s="32">
        <v>1</v>
      </c>
      <c r="M118" s="39" t="s">
        <v>627</v>
      </c>
      <c r="N118" s="32">
        <v>0.25</v>
      </c>
      <c r="O118" s="32">
        <v>0.5</v>
      </c>
      <c r="P118" s="32">
        <v>0.75</v>
      </c>
      <c r="Q118" s="32">
        <v>1</v>
      </c>
      <c r="R118" s="32"/>
      <c r="S118" s="32" t="s">
        <v>46</v>
      </c>
      <c r="T118" s="41"/>
      <c r="U118" s="41"/>
      <c r="V118" s="41"/>
      <c r="W118" s="41"/>
      <c r="X118" s="41"/>
      <c r="Y118" s="41"/>
      <c r="Z118" s="41">
        <f t="shared" si="1"/>
        <v>0</v>
      </c>
      <c r="AA118" s="48"/>
      <c r="AB118" s="39" t="s">
        <v>525</v>
      </c>
      <c r="AC118" s="39"/>
      <c r="AD118" s="39"/>
      <c r="AE118" s="39" t="s">
        <v>1201</v>
      </c>
      <c r="AF118" s="99"/>
      <c r="AG118" s="99"/>
      <c r="AH118" s="17">
        <v>300000000</v>
      </c>
    </row>
    <row r="119" spans="1:34" ht="42.75">
      <c r="A119" s="51"/>
      <c r="B119" s="40"/>
      <c r="C119" s="42"/>
      <c r="D119" s="42"/>
      <c r="E119" s="42"/>
      <c r="F119" s="42"/>
      <c r="G119" s="42"/>
      <c r="H119" s="42"/>
      <c r="I119" s="42"/>
      <c r="J119" s="39" t="s">
        <v>872</v>
      </c>
      <c r="K119" s="39">
        <v>0</v>
      </c>
      <c r="L119" s="32">
        <v>1</v>
      </c>
      <c r="M119" s="39" t="s">
        <v>627</v>
      </c>
      <c r="N119" s="32">
        <v>0.25</v>
      </c>
      <c r="O119" s="32">
        <v>0.5</v>
      </c>
      <c r="P119" s="32">
        <v>0.75</v>
      </c>
      <c r="Q119" s="32">
        <v>1</v>
      </c>
      <c r="R119" s="32"/>
      <c r="S119" s="32" t="s">
        <v>289</v>
      </c>
      <c r="T119" s="41"/>
      <c r="U119" s="41"/>
      <c r="V119" s="41"/>
      <c r="W119" s="41"/>
      <c r="X119" s="41"/>
      <c r="Y119" s="41"/>
      <c r="Z119" s="41">
        <f t="shared" si="1"/>
        <v>0</v>
      </c>
      <c r="AA119" s="49"/>
      <c r="AB119" s="39" t="s">
        <v>458</v>
      </c>
      <c r="AC119" s="39"/>
      <c r="AD119" s="39"/>
      <c r="AE119" s="39"/>
      <c r="AF119" s="99"/>
      <c r="AG119" s="99"/>
      <c r="AH119" s="17">
        <v>5000000</v>
      </c>
    </row>
    <row r="120" spans="1:34" ht="28.5">
      <c r="A120" s="40" t="s">
        <v>186</v>
      </c>
      <c r="B120" s="40" t="s">
        <v>40</v>
      </c>
      <c r="C120" s="42" t="s">
        <v>84</v>
      </c>
      <c r="D120" s="42" t="s">
        <v>589</v>
      </c>
      <c r="E120" s="42" t="s">
        <v>144</v>
      </c>
      <c r="F120" s="42" t="s">
        <v>615</v>
      </c>
      <c r="G120" s="42" t="s">
        <v>145</v>
      </c>
      <c r="H120" s="42" t="s">
        <v>692</v>
      </c>
      <c r="I120" s="42" t="s">
        <v>152</v>
      </c>
      <c r="J120" s="39" t="s">
        <v>873</v>
      </c>
      <c r="K120" s="39">
        <v>6150</v>
      </c>
      <c r="L120" s="39">
        <v>6350</v>
      </c>
      <c r="M120" s="39" t="s">
        <v>627</v>
      </c>
      <c r="N120" s="39">
        <v>0</v>
      </c>
      <c r="O120" s="39">
        <f>6150+65</f>
        <v>6215</v>
      </c>
      <c r="P120" s="39">
        <f>+O120+65</f>
        <v>6280</v>
      </c>
      <c r="Q120" s="39">
        <f>+P120+70</f>
        <v>6350</v>
      </c>
      <c r="R120" s="39">
        <v>0</v>
      </c>
      <c r="S120" s="39" t="s">
        <v>286</v>
      </c>
      <c r="T120" s="41">
        <v>3600000000</v>
      </c>
      <c r="U120" s="41"/>
      <c r="V120" s="52"/>
      <c r="W120" s="52"/>
      <c r="X120" s="52"/>
      <c r="Y120" s="52"/>
      <c r="Z120" s="52">
        <f t="shared" si="1"/>
        <v>3600000000</v>
      </c>
      <c r="AA120" s="47" t="s">
        <v>144</v>
      </c>
      <c r="AB120" s="39" t="s">
        <v>336</v>
      </c>
      <c r="AC120" s="39"/>
      <c r="AD120" s="39"/>
      <c r="AE120" s="39"/>
      <c r="AF120" s="99"/>
      <c r="AG120" s="17"/>
      <c r="AH120" s="17">
        <v>1500000000</v>
      </c>
    </row>
    <row r="121" spans="1:34">
      <c r="A121" s="40"/>
      <c r="B121" s="40"/>
      <c r="C121" s="42"/>
      <c r="D121" s="42"/>
      <c r="E121" s="42"/>
      <c r="F121" s="42"/>
      <c r="G121" s="42"/>
      <c r="H121" s="42"/>
      <c r="I121" s="42"/>
      <c r="J121" s="39" t="s">
        <v>874</v>
      </c>
      <c r="K121" s="39">
        <v>0</v>
      </c>
      <c r="L121" s="39">
        <v>500</v>
      </c>
      <c r="M121" s="39" t="s">
        <v>627</v>
      </c>
      <c r="N121" s="39">
        <v>0</v>
      </c>
      <c r="O121" s="39">
        <v>165</v>
      </c>
      <c r="P121" s="39">
        <f>+O121+165</f>
        <v>330</v>
      </c>
      <c r="Q121" s="39">
        <f>+P121+170</f>
        <v>500</v>
      </c>
      <c r="R121" s="39">
        <v>0</v>
      </c>
      <c r="S121" s="39" t="s">
        <v>286</v>
      </c>
      <c r="T121" s="41"/>
      <c r="U121" s="41"/>
      <c r="V121" s="52"/>
      <c r="W121" s="52"/>
      <c r="X121" s="52"/>
      <c r="Y121" s="52"/>
      <c r="Z121" s="52">
        <f t="shared" si="1"/>
        <v>0</v>
      </c>
      <c r="AA121" s="48"/>
      <c r="AB121" s="39" t="s">
        <v>526</v>
      </c>
      <c r="AC121" s="39"/>
      <c r="AD121" s="39"/>
      <c r="AE121" s="39"/>
      <c r="AF121" s="99"/>
      <c r="AG121" s="17"/>
      <c r="AH121" s="17">
        <v>100000000</v>
      </c>
    </row>
    <row r="122" spans="1:34" ht="42.75">
      <c r="A122" s="40"/>
      <c r="B122" s="40"/>
      <c r="C122" s="42"/>
      <c r="D122" s="42"/>
      <c r="E122" s="42"/>
      <c r="F122" s="42"/>
      <c r="G122" s="42"/>
      <c r="H122" s="42"/>
      <c r="I122" s="42"/>
      <c r="J122" s="39" t="s">
        <v>875</v>
      </c>
      <c r="K122" s="39">
        <v>0</v>
      </c>
      <c r="L122" s="39">
        <v>500</v>
      </c>
      <c r="M122" s="39" t="s">
        <v>627</v>
      </c>
      <c r="N122" s="39">
        <v>0</v>
      </c>
      <c r="O122" s="39">
        <v>165</v>
      </c>
      <c r="P122" s="39">
        <f>+O122+165</f>
        <v>330</v>
      </c>
      <c r="Q122" s="39">
        <f>+P122+170</f>
        <v>500</v>
      </c>
      <c r="R122" s="39">
        <v>0</v>
      </c>
      <c r="S122" s="39" t="s">
        <v>286</v>
      </c>
      <c r="T122" s="41"/>
      <c r="U122" s="41"/>
      <c r="V122" s="52"/>
      <c r="W122" s="52"/>
      <c r="X122" s="52"/>
      <c r="Y122" s="52"/>
      <c r="Z122" s="52">
        <f t="shared" si="1"/>
        <v>0</v>
      </c>
      <c r="AA122" s="48"/>
      <c r="AB122" s="39" t="s">
        <v>630</v>
      </c>
      <c r="AC122" s="39" t="s">
        <v>1202</v>
      </c>
      <c r="AD122" s="39" t="s">
        <v>1203</v>
      </c>
      <c r="AE122" s="39" t="s">
        <v>1204</v>
      </c>
      <c r="AF122" s="99">
        <v>35324216</v>
      </c>
      <c r="AG122" s="17">
        <v>35237544</v>
      </c>
      <c r="AH122" s="17">
        <v>500000</v>
      </c>
    </row>
    <row r="123" spans="1:34" ht="28.5">
      <c r="A123" s="40"/>
      <c r="B123" s="40"/>
      <c r="C123" s="42"/>
      <c r="D123" s="42"/>
      <c r="E123" s="42"/>
      <c r="F123" s="42"/>
      <c r="G123" s="42"/>
      <c r="H123" s="42"/>
      <c r="I123" s="39" t="s">
        <v>694</v>
      </c>
      <c r="J123" s="39" t="s">
        <v>876</v>
      </c>
      <c r="K123" s="15">
        <v>0</v>
      </c>
      <c r="L123" s="15">
        <v>25</v>
      </c>
      <c r="M123" s="39" t="s">
        <v>627</v>
      </c>
      <c r="N123" s="15">
        <v>0</v>
      </c>
      <c r="O123" s="15">
        <v>5</v>
      </c>
      <c r="P123" s="15">
        <v>15</v>
      </c>
      <c r="Q123" s="15">
        <v>25</v>
      </c>
      <c r="R123" s="15">
        <v>0</v>
      </c>
      <c r="S123" s="39" t="s">
        <v>286</v>
      </c>
      <c r="T123" s="29">
        <v>300000000</v>
      </c>
      <c r="U123" s="29"/>
      <c r="V123" s="3"/>
      <c r="W123" s="3"/>
      <c r="X123" s="3"/>
      <c r="Y123" s="3"/>
      <c r="Z123" s="3">
        <f t="shared" si="1"/>
        <v>300000000</v>
      </c>
      <c r="AA123" s="48"/>
      <c r="AB123" s="39" t="s">
        <v>631</v>
      </c>
      <c r="AC123" s="39"/>
      <c r="AD123" s="39"/>
      <c r="AE123" s="39"/>
      <c r="AF123" s="17"/>
      <c r="AG123" s="17"/>
      <c r="AH123" s="17">
        <v>37500000</v>
      </c>
    </row>
    <row r="124" spans="1:34" ht="28.5">
      <c r="A124" s="40"/>
      <c r="B124" s="40"/>
      <c r="C124" s="42"/>
      <c r="D124" s="42"/>
      <c r="E124" s="42"/>
      <c r="F124" s="42"/>
      <c r="G124" s="42"/>
      <c r="H124" s="42" t="s">
        <v>693</v>
      </c>
      <c r="I124" s="42" t="s">
        <v>695</v>
      </c>
      <c r="J124" s="39" t="s">
        <v>877</v>
      </c>
      <c r="K124" s="15">
        <v>0</v>
      </c>
      <c r="L124" s="15">
        <v>2</v>
      </c>
      <c r="M124" s="39" t="s">
        <v>627</v>
      </c>
      <c r="N124" s="15">
        <v>0</v>
      </c>
      <c r="O124" s="15">
        <v>0.5</v>
      </c>
      <c r="P124" s="15">
        <v>1.5</v>
      </c>
      <c r="Q124" s="15">
        <v>2</v>
      </c>
      <c r="R124" s="15">
        <v>0</v>
      </c>
      <c r="S124" s="39" t="s">
        <v>286</v>
      </c>
      <c r="T124" s="29">
        <v>200000000</v>
      </c>
      <c r="U124" s="29"/>
      <c r="V124" s="3"/>
      <c r="W124" s="3"/>
      <c r="X124" s="3"/>
      <c r="Y124" s="3"/>
      <c r="Z124" s="3">
        <f t="shared" si="1"/>
        <v>200000000</v>
      </c>
      <c r="AA124" s="48"/>
      <c r="AB124" s="39" t="s">
        <v>527</v>
      </c>
      <c r="AC124" s="39"/>
      <c r="AD124" s="39"/>
      <c r="AE124" s="39"/>
      <c r="AF124" s="17"/>
      <c r="AG124" s="17"/>
      <c r="AH124" s="17">
        <v>50000000</v>
      </c>
    </row>
    <row r="125" spans="1:34" ht="28.5">
      <c r="A125" s="40"/>
      <c r="B125" s="40"/>
      <c r="C125" s="42"/>
      <c r="D125" s="42"/>
      <c r="E125" s="42"/>
      <c r="F125" s="42"/>
      <c r="G125" s="42"/>
      <c r="H125" s="42"/>
      <c r="I125" s="42"/>
      <c r="J125" s="39" t="s">
        <v>878</v>
      </c>
      <c r="K125" s="15">
        <v>0</v>
      </c>
      <c r="L125" s="15">
        <v>1</v>
      </c>
      <c r="M125" s="39" t="s">
        <v>627</v>
      </c>
      <c r="N125" s="15">
        <v>0</v>
      </c>
      <c r="O125" s="15">
        <v>1</v>
      </c>
      <c r="P125" s="15">
        <v>0</v>
      </c>
      <c r="Q125" s="15">
        <v>0</v>
      </c>
      <c r="R125" s="15">
        <v>0</v>
      </c>
      <c r="S125" s="39" t="s">
        <v>286</v>
      </c>
      <c r="T125" s="29"/>
      <c r="U125" s="29"/>
      <c r="V125" s="3"/>
      <c r="W125" s="3"/>
      <c r="X125" s="3"/>
      <c r="Y125" s="3">
        <v>506157974</v>
      </c>
      <c r="Z125" s="3">
        <f t="shared" si="1"/>
        <v>506157974</v>
      </c>
      <c r="AA125" s="48"/>
      <c r="AB125" s="39" t="s">
        <v>528</v>
      </c>
      <c r="AC125" s="39"/>
      <c r="AD125" s="39"/>
      <c r="AE125" s="39"/>
      <c r="AF125" s="17"/>
      <c r="AG125" s="17"/>
      <c r="AH125" s="17">
        <v>50000000</v>
      </c>
    </row>
    <row r="126" spans="1:34" ht="28.5">
      <c r="A126" s="40"/>
      <c r="B126" s="40"/>
      <c r="C126" s="42"/>
      <c r="D126" s="42"/>
      <c r="E126" s="42"/>
      <c r="F126" s="42"/>
      <c r="G126" s="42"/>
      <c r="H126" s="42"/>
      <c r="I126" s="42"/>
      <c r="J126" s="39" t="s">
        <v>879</v>
      </c>
      <c r="K126" s="15">
        <v>2000</v>
      </c>
      <c r="L126" s="15">
        <v>2050</v>
      </c>
      <c r="M126" s="39" t="s">
        <v>627</v>
      </c>
      <c r="N126" s="15">
        <v>0</v>
      </c>
      <c r="O126" s="15">
        <v>2010</v>
      </c>
      <c r="P126" s="15">
        <v>2040</v>
      </c>
      <c r="Q126" s="15">
        <v>2050</v>
      </c>
      <c r="R126" s="15">
        <v>0</v>
      </c>
      <c r="S126" s="39" t="s">
        <v>286</v>
      </c>
      <c r="T126" s="29">
        <v>350000000</v>
      </c>
      <c r="U126" s="29"/>
      <c r="V126" s="3"/>
      <c r="W126" s="3"/>
      <c r="X126" s="3"/>
      <c r="Y126" s="3"/>
      <c r="Z126" s="3">
        <f t="shared" si="1"/>
        <v>350000000</v>
      </c>
      <c r="AA126" s="48"/>
      <c r="AB126" s="39" t="s">
        <v>529</v>
      </c>
      <c r="AC126" s="39"/>
      <c r="AD126" s="39"/>
      <c r="AE126" s="39"/>
      <c r="AF126" s="17"/>
      <c r="AG126" s="17"/>
      <c r="AH126" s="17">
        <v>25000000</v>
      </c>
    </row>
    <row r="127" spans="1:34" ht="28.5">
      <c r="A127" s="40"/>
      <c r="B127" s="40"/>
      <c r="C127" s="42"/>
      <c r="D127" s="42"/>
      <c r="E127" s="42"/>
      <c r="F127" s="42"/>
      <c r="G127" s="42"/>
      <c r="H127" s="42"/>
      <c r="I127" s="42"/>
      <c r="J127" s="39" t="s">
        <v>880</v>
      </c>
      <c r="K127" s="15">
        <v>0</v>
      </c>
      <c r="L127" s="15">
        <v>1</v>
      </c>
      <c r="M127" s="39" t="s">
        <v>627</v>
      </c>
      <c r="N127" s="15">
        <v>0</v>
      </c>
      <c r="O127" s="15">
        <v>1</v>
      </c>
      <c r="P127" s="15">
        <v>0</v>
      </c>
      <c r="Q127" s="15">
        <v>0</v>
      </c>
      <c r="R127" s="15">
        <v>0</v>
      </c>
      <c r="S127" s="39" t="s">
        <v>286</v>
      </c>
      <c r="T127" s="29">
        <v>200000000</v>
      </c>
      <c r="U127" s="29"/>
      <c r="V127" s="3"/>
      <c r="W127" s="3"/>
      <c r="X127" s="3"/>
      <c r="Y127" s="3"/>
      <c r="Z127" s="3">
        <f t="shared" si="1"/>
        <v>200000000</v>
      </c>
      <c r="AA127" s="48"/>
      <c r="AB127" s="39" t="s">
        <v>530</v>
      </c>
      <c r="AC127" s="39"/>
      <c r="AD127" s="39"/>
      <c r="AE127" s="39"/>
      <c r="AF127" s="17"/>
      <c r="AG127" s="17"/>
      <c r="AH127" s="17">
        <v>25000000</v>
      </c>
    </row>
    <row r="128" spans="1:34" ht="42.75">
      <c r="A128" s="40"/>
      <c r="B128" s="40"/>
      <c r="C128" s="42"/>
      <c r="D128" s="42"/>
      <c r="E128" s="42"/>
      <c r="F128" s="42"/>
      <c r="G128" s="42"/>
      <c r="H128" s="42"/>
      <c r="I128" s="42"/>
      <c r="J128" s="39" t="s">
        <v>881</v>
      </c>
      <c r="K128" s="15">
        <v>0</v>
      </c>
      <c r="L128" s="15">
        <v>4</v>
      </c>
      <c r="M128" s="39" t="s">
        <v>627</v>
      </c>
      <c r="N128" s="15">
        <v>0</v>
      </c>
      <c r="O128" s="15">
        <v>1</v>
      </c>
      <c r="P128" s="15">
        <v>2</v>
      </c>
      <c r="Q128" s="15">
        <v>4</v>
      </c>
      <c r="R128" s="15">
        <v>0</v>
      </c>
      <c r="S128" s="39" t="s">
        <v>286</v>
      </c>
      <c r="T128" s="29">
        <v>200000000</v>
      </c>
      <c r="U128" s="29"/>
      <c r="V128" s="3"/>
      <c r="W128" s="3"/>
      <c r="X128" s="3"/>
      <c r="Y128" s="3"/>
      <c r="Z128" s="3">
        <f t="shared" si="1"/>
        <v>200000000</v>
      </c>
      <c r="AA128" s="48"/>
      <c r="AB128" s="39" t="s">
        <v>531</v>
      </c>
      <c r="AC128" s="39"/>
      <c r="AD128" s="39"/>
      <c r="AE128" s="39"/>
      <c r="AF128" s="17"/>
      <c r="AG128" s="17"/>
      <c r="AH128" s="17">
        <v>5000000</v>
      </c>
    </row>
    <row r="129" spans="1:34" ht="42.75">
      <c r="A129" s="40"/>
      <c r="B129" s="40"/>
      <c r="C129" s="42"/>
      <c r="D129" s="42"/>
      <c r="E129" s="42"/>
      <c r="F129" s="42"/>
      <c r="G129" s="42"/>
      <c r="H129" s="42" t="s">
        <v>611</v>
      </c>
      <c r="I129" s="42" t="s">
        <v>696</v>
      </c>
      <c r="J129" s="39" t="s">
        <v>882</v>
      </c>
      <c r="K129" s="15">
        <v>0</v>
      </c>
      <c r="L129" s="15">
        <v>3</v>
      </c>
      <c r="M129" s="39" t="s">
        <v>627</v>
      </c>
      <c r="N129" s="15">
        <v>0</v>
      </c>
      <c r="O129" s="15">
        <v>1</v>
      </c>
      <c r="P129" s="15">
        <v>2</v>
      </c>
      <c r="Q129" s="15">
        <v>3</v>
      </c>
      <c r="R129" s="15">
        <v>0</v>
      </c>
      <c r="S129" s="39" t="s">
        <v>286</v>
      </c>
      <c r="T129" s="29">
        <v>100000000</v>
      </c>
      <c r="U129" s="29"/>
      <c r="V129" s="3"/>
      <c r="W129" s="3"/>
      <c r="X129" s="3"/>
      <c r="Y129" s="3"/>
      <c r="Z129" s="3">
        <f t="shared" si="1"/>
        <v>100000000</v>
      </c>
      <c r="AA129" s="48"/>
      <c r="AB129" s="39" t="s">
        <v>532</v>
      </c>
      <c r="AC129" s="39" t="s">
        <v>1205</v>
      </c>
      <c r="AD129" s="39" t="s">
        <v>1206</v>
      </c>
      <c r="AE129" s="39" t="s">
        <v>1207</v>
      </c>
      <c r="AF129" s="17">
        <v>86151903</v>
      </c>
      <c r="AG129" s="17">
        <v>84756903</v>
      </c>
      <c r="AH129" s="17">
        <v>50000000</v>
      </c>
    </row>
    <row r="130" spans="1:34" ht="42.75">
      <c r="A130" s="40"/>
      <c r="B130" s="40"/>
      <c r="C130" s="42"/>
      <c r="D130" s="42"/>
      <c r="E130" s="42"/>
      <c r="F130" s="42"/>
      <c r="G130" s="42"/>
      <c r="H130" s="42"/>
      <c r="I130" s="42"/>
      <c r="J130" s="39" t="s">
        <v>883</v>
      </c>
      <c r="K130" s="15">
        <v>0</v>
      </c>
      <c r="L130" s="15">
        <v>1</v>
      </c>
      <c r="M130" s="39" t="s">
        <v>627</v>
      </c>
      <c r="N130" s="15">
        <v>0</v>
      </c>
      <c r="O130" s="15">
        <v>1</v>
      </c>
      <c r="P130" s="15">
        <v>0</v>
      </c>
      <c r="Q130" s="15">
        <v>0</v>
      </c>
      <c r="R130" s="15">
        <v>0</v>
      </c>
      <c r="S130" s="39" t="s">
        <v>286</v>
      </c>
      <c r="T130" s="29">
        <v>160000000</v>
      </c>
      <c r="U130" s="29"/>
      <c r="V130" s="3"/>
      <c r="W130" s="3"/>
      <c r="X130" s="3"/>
      <c r="Y130" s="3"/>
      <c r="Z130" s="3">
        <f t="shared" si="1"/>
        <v>160000000</v>
      </c>
      <c r="AA130" s="48"/>
      <c r="AB130" s="39" t="s">
        <v>382</v>
      </c>
      <c r="AC130" s="39"/>
      <c r="AD130" s="39"/>
      <c r="AE130" s="39"/>
      <c r="AF130" s="17"/>
      <c r="AG130" s="17"/>
      <c r="AH130" s="17">
        <v>10000000</v>
      </c>
    </row>
    <row r="131" spans="1:34" ht="114">
      <c r="A131" s="40"/>
      <c r="B131" s="40"/>
      <c r="C131" s="42"/>
      <c r="D131" s="42"/>
      <c r="E131" s="42"/>
      <c r="F131" s="42"/>
      <c r="G131" s="42"/>
      <c r="H131" s="42"/>
      <c r="I131" s="42"/>
      <c r="J131" s="39" t="s">
        <v>884</v>
      </c>
      <c r="K131" s="15">
        <v>0</v>
      </c>
      <c r="L131" s="15">
        <v>1</v>
      </c>
      <c r="M131" s="39" t="s">
        <v>627</v>
      </c>
      <c r="N131" s="15">
        <v>0</v>
      </c>
      <c r="O131" s="15">
        <v>1</v>
      </c>
      <c r="P131" s="15">
        <v>0</v>
      </c>
      <c r="Q131" s="15">
        <v>0</v>
      </c>
      <c r="R131" s="15">
        <v>1</v>
      </c>
      <c r="S131" s="39" t="s">
        <v>286</v>
      </c>
      <c r="T131" s="29">
        <v>4000000000</v>
      </c>
      <c r="U131" s="29"/>
      <c r="V131" s="3"/>
      <c r="W131" s="3"/>
      <c r="X131" s="3"/>
      <c r="Y131" s="3"/>
      <c r="Z131" s="3">
        <f t="shared" si="1"/>
        <v>4000000000</v>
      </c>
      <c r="AA131" s="48"/>
      <c r="AB131" s="39" t="s">
        <v>533</v>
      </c>
      <c r="AC131" s="87" t="s">
        <v>1208</v>
      </c>
      <c r="AD131" s="39" t="s">
        <v>1209</v>
      </c>
      <c r="AE131" s="39" t="s">
        <v>1210</v>
      </c>
      <c r="AF131" s="17">
        <v>776865162</v>
      </c>
      <c r="AG131" s="17">
        <v>750091396</v>
      </c>
      <c r="AH131" s="17">
        <v>1066940297</v>
      </c>
    </row>
    <row r="132" spans="1:34" ht="57">
      <c r="A132" s="40"/>
      <c r="B132" s="40"/>
      <c r="C132" s="42"/>
      <c r="D132" s="42"/>
      <c r="E132" s="42"/>
      <c r="F132" s="42"/>
      <c r="G132" s="42"/>
      <c r="H132" s="42"/>
      <c r="I132" s="42"/>
      <c r="J132" s="39" t="s">
        <v>885</v>
      </c>
      <c r="K132" s="15">
        <v>0</v>
      </c>
      <c r="L132" s="15">
        <v>1</v>
      </c>
      <c r="M132" s="39" t="s">
        <v>627</v>
      </c>
      <c r="N132" s="15">
        <v>0</v>
      </c>
      <c r="O132" s="15">
        <v>1</v>
      </c>
      <c r="P132" s="15">
        <v>0</v>
      </c>
      <c r="Q132" s="15">
        <v>0</v>
      </c>
      <c r="R132" s="15">
        <v>0</v>
      </c>
      <c r="S132" s="39" t="s">
        <v>286</v>
      </c>
      <c r="T132" s="29">
        <v>400000000</v>
      </c>
      <c r="U132" s="29"/>
      <c r="V132" s="3"/>
      <c r="W132" s="3"/>
      <c r="X132" s="3"/>
      <c r="Y132" s="3"/>
      <c r="Z132" s="3">
        <f t="shared" si="1"/>
        <v>400000000</v>
      </c>
      <c r="AA132" s="48"/>
      <c r="AB132" s="39" t="s">
        <v>534</v>
      </c>
      <c r="AC132" s="39" t="s">
        <v>1211</v>
      </c>
      <c r="AD132" s="39" t="s">
        <v>1212</v>
      </c>
      <c r="AE132" s="39" t="s">
        <v>1213</v>
      </c>
      <c r="AF132" s="17">
        <v>22206694</v>
      </c>
      <c r="AG132" s="17">
        <v>4889864</v>
      </c>
      <c r="AH132" s="17">
        <v>100000000</v>
      </c>
    </row>
    <row r="133" spans="1:34" ht="28.5">
      <c r="A133" s="40"/>
      <c r="B133" s="40"/>
      <c r="C133" s="42"/>
      <c r="D133" s="42"/>
      <c r="E133" s="42"/>
      <c r="F133" s="42"/>
      <c r="G133" s="42"/>
      <c r="H133" s="42"/>
      <c r="I133" s="42"/>
      <c r="J133" s="39" t="s">
        <v>886</v>
      </c>
      <c r="K133" s="15">
        <v>0</v>
      </c>
      <c r="L133" s="15">
        <v>1</v>
      </c>
      <c r="M133" s="39" t="s">
        <v>627</v>
      </c>
      <c r="N133" s="15">
        <v>0</v>
      </c>
      <c r="O133" s="15">
        <v>0.25</v>
      </c>
      <c r="P133" s="15">
        <v>0.5</v>
      </c>
      <c r="Q133" s="15">
        <v>1</v>
      </c>
      <c r="R133" s="15">
        <v>0</v>
      </c>
      <c r="S133" s="39" t="s">
        <v>286</v>
      </c>
      <c r="T133" s="29">
        <v>400000000</v>
      </c>
      <c r="U133" s="29"/>
      <c r="V133" s="3"/>
      <c r="W133" s="3"/>
      <c r="X133" s="3"/>
      <c r="Y133" s="3"/>
      <c r="Z133" s="3">
        <f t="shared" si="1"/>
        <v>400000000</v>
      </c>
      <c r="AA133" s="49"/>
      <c r="AB133" s="39" t="s">
        <v>535</v>
      </c>
      <c r="AC133" s="39"/>
      <c r="AD133" s="39"/>
      <c r="AE133" s="39"/>
      <c r="AF133" s="17"/>
      <c r="AG133" s="17"/>
      <c r="AH133" s="17">
        <v>50000000</v>
      </c>
    </row>
    <row r="134" spans="1:34" ht="42.75">
      <c r="A134" s="40"/>
      <c r="B134" s="40" t="s">
        <v>155</v>
      </c>
      <c r="C134" s="42" t="s">
        <v>575</v>
      </c>
      <c r="D134" s="42" t="s">
        <v>590</v>
      </c>
      <c r="E134" s="42" t="s">
        <v>191</v>
      </c>
      <c r="F134" s="42" t="s">
        <v>146</v>
      </c>
      <c r="G134" s="42" t="s">
        <v>147</v>
      </c>
      <c r="H134" s="42" t="s">
        <v>212</v>
      </c>
      <c r="I134" s="57" t="s">
        <v>211</v>
      </c>
      <c r="J134" s="39" t="s">
        <v>153</v>
      </c>
      <c r="K134" s="39">
        <v>0</v>
      </c>
      <c r="L134" s="39">
        <v>1</v>
      </c>
      <c r="M134" s="39" t="s">
        <v>627</v>
      </c>
      <c r="N134" s="39">
        <v>0</v>
      </c>
      <c r="O134" s="39">
        <v>1</v>
      </c>
      <c r="P134" s="39">
        <v>0</v>
      </c>
      <c r="Q134" s="39">
        <v>0</v>
      </c>
      <c r="R134" s="39"/>
      <c r="S134" s="39" t="s">
        <v>287</v>
      </c>
      <c r="T134" s="9">
        <v>300000000</v>
      </c>
      <c r="U134" s="29"/>
      <c r="V134" s="3"/>
      <c r="W134" s="3"/>
      <c r="X134" s="3"/>
      <c r="Y134" s="3"/>
      <c r="Z134" s="3">
        <f t="shared" si="1"/>
        <v>300000000</v>
      </c>
      <c r="AA134" s="47" t="s">
        <v>299</v>
      </c>
      <c r="AB134" s="39" t="s">
        <v>496</v>
      </c>
      <c r="AC134" s="39"/>
      <c r="AD134" s="39"/>
      <c r="AE134" s="39"/>
      <c r="AF134" s="102"/>
      <c r="AG134" s="96"/>
      <c r="AH134" s="17">
        <v>150000000</v>
      </c>
    </row>
    <row r="135" spans="1:34">
      <c r="A135" s="40"/>
      <c r="B135" s="40"/>
      <c r="C135" s="42"/>
      <c r="D135" s="42"/>
      <c r="E135" s="42"/>
      <c r="F135" s="42"/>
      <c r="G135" s="42"/>
      <c r="H135" s="42"/>
      <c r="I135" s="57"/>
      <c r="J135" s="39" t="s">
        <v>887</v>
      </c>
      <c r="K135" s="39">
        <v>0</v>
      </c>
      <c r="L135" s="39">
        <v>1</v>
      </c>
      <c r="M135" s="39" t="s">
        <v>627</v>
      </c>
      <c r="N135" s="39">
        <v>0</v>
      </c>
      <c r="O135" s="39">
        <v>1</v>
      </c>
      <c r="P135" s="39">
        <v>0</v>
      </c>
      <c r="Q135" s="39">
        <v>0</v>
      </c>
      <c r="R135" s="39"/>
      <c r="S135" s="39" t="s">
        <v>287</v>
      </c>
      <c r="T135" s="9">
        <v>500000000</v>
      </c>
      <c r="U135" s="29"/>
      <c r="V135" s="3"/>
      <c r="W135" s="3"/>
      <c r="X135" s="3"/>
      <c r="Y135" s="3">
        <f>6509120400+179735682</f>
        <v>6688856082</v>
      </c>
      <c r="Z135" s="3">
        <f t="shared" si="1"/>
        <v>7188856082</v>
      </c>
      <c r="AA135" s="48"/>
      <c r="AB135" s="39" t="s">
        <v>553</v>
      </c>
      <c r="AC135" s="39"/>
      <c r="AD135" s="39"/>
      <c r="AE135" s="39"/>
      <c r="AF135" s="102"/>
      <c r="AG135" s="96"/>
      <c r="AH135" s="17">
        <v>75000000</v>
      </c>
    </row>
    <row r="136" spans="1:34" ht="71.25">
      <c r="A136" s="40"/>
      <c r="B136" s="40"/>
      <c r="C136" s="42"/>
      <c r="D136" s="42"/>
      <c r="E136" s="42"/>
      <c r="F136" s="42"/>
      <c r="G136" s="42"/>
      <c r="H136" s="42"/>
      <c r="I136" s="57"/>
      <c r="J136" s="39" t="s">
        <v>888</v>
      </c>
      <c r="K136" s="39">
        <v>0</v>
      </c>
      <c r="L136" s="39">
        <v>1</v>
      </c>
      <c r="M136" s="39" t="s">
        <v>627</v>
      </c>
      <c r="N136" s="39">
        <v>1</v>
      </c>
      <c r="O136" s="39">
        <v>0</v>
      </c>
      <c r="P136" s="39">
        <v>0</v>
      </c>
      <c r="Q136" s="39">
        <v>0</v>
      </c>
      <c r="R136" s="39">
        <v>1</v>
      </c>
      <c r="S136" s="39" t="s">
        <v>287</v>
      </c>
      <c r="T136" s="9">
        <v>250000000</v>
      </c>
      <c r="U136" s="29"/>
      <c r="V136" s="3"/>
      <c r="W136" s="3"/>
      <c r="X136" s="3"/>
      <c r="Y136" s="3"/>
      <c r="Z136" s="3">
        <f t="shared" si="1"/>
        <v>250000000</v>
      </c>
      <c r="AA136" s="48"/>
      <c r="AB136" s="39" t="s">
        <v>498</v>
      </c>
      <c r="AC136" s="39" t="s">
        <v>1075</v>
      </c>
      <c r="AD136" s="39" t="s">
        <v>1078</v>
      </c>
      <c r="AE136" s="39" t="s">
        <v>1076</v>
      </c>
      <c r="AF136" s="102">
        <f>13200000*0.3+30000000*0.3</f>
        <v>12960000</v>
      </c>
      <c r="AG136" s="102">
        <f>13200000*0.3+30000000*0.3</f>
        <v>12960000</v>
      </c>
      <c r="AH136" s="17">
        <v>40000000</v>
      </c>
    </row>
    <row r="137" spans="1:34">
      <c r="A137" s="40"/>
      <c r="B137" s="40"/>
      <c r="C137" s="42"/>
      <c r="D137" s="42"/>
      <c r="E137" s="42"/>
      <c r="F137" s="42"/>
      <c r="G137" s="42"/>
      <c r="H137" s="42"/>
      <c r="I137" s="57"/>
      <c r="J137" s="39" t="s">
        <v>889</v>
      </c>
      <c r="K137" s="39">
        <v>0</v>
      </c>
      <c r="L137" s="39">
        <v>1</v>
      </c>
      <c r="M137" s="39" t="s">
        <v>627</v>
      </c>
      <c r="N137" s="39">
        <v>0</v>
      </c>
      <c r="O137" s="39">
        <v>1</v>
      </c>
      <c r="P137" s="39">
        <v>0</v>
      </c>
      <c r="Q137" s="39">
        <v>0</v>
      </c>
      <c r="R137" s="39"/>
      <c r="S137" s="39" t="s">
        <v>287</v>
      </c>
      <c r="T137" s="9">
        <v>200000000</v>
      </c>
      <c r="U137" s="29"/>
      <c r="V137" s="3"/>
      <c r="W137" s="3"/>
      <c r="X137" s="3"/>
      <c r="Y137" s="3"/>
      <c r="Z137" s="3">
        <f t="shared" si="1"/>
        <v>200000000</v>
      </c>
      <c r="AA137" s="48"/>
      <c r="AB137" s="39" t="s">
        <v>497</v>
      </c>
      <c r="AC137" s="39"/>
      <c r="AD137" s="39"/>
      <c r="AE137" s="39"/>
      <c r="AF137" s="102"/>
      <c r="AG137" s="96"/>
      <c r="AH137" s="17">
        <v>25000000</v>
      </c>
    </row>
    <row r="138" spans="1:34" ht="142.5">
      <c r="A138" s="40"/>
      <c r="B138" s="40"/>
      <c r="C138" s="42"/>
      <c r="D138" s="42"/>
      <c r="E138" s="42"/>
      <c r="F138" s="42"/>
      <c r="G138" s="42"/>
      <c r="H138" s="42"/>
      <c r="I138" s="57"/>
      <c r="J138" s="39" t="s">
        <v>890</v>
      </c>
      <c r="K138" s="39">
        <v>0</v>
      </c>
      <c r="L138" s="32">
        <v>0.25</v>
      </c>
      <c r="M138" s="39" t="s">
        <v>627</v>
      </c>
      <c r="N138" s="32">
        <v>0.1</v>
      </c>
      <c r="O138" s="32">
        <v>0.15</v>
      </c>
      <c r="P138" s="32">
        <v>0.2</v>
      </c>
      <c r="Q138" s="32">
        <v>0.25</v>
      </c>
      <c r="R138" s="32">
        <v>0.1</v>
      </c>
      <c r="S138" s="39" t="s">
        <v>287</v>
      </c>
      <c r="T138" s="9">
        <v>200000000</v>
      </c>
      <c r="U138" s="29"/>
      <c r="V138" s="3"/>
      <c r="W138" s="3"/>
      <c r="X138" s="3"/>
      <c r="Y138" s="3"/>
      <c r="Z138" s="3">
        <f t="shared" si="1"/>
        <v>200000000</v>
      </c>
      <c r="AA138" s="48"/>
      <c r="AB138" s="39" t="s">
        <v>504</v>
      </c>
      <c r="AC138" s="39" t="s">
        <v>1077</v>
      </c>
      <c r="AD138" s="39" t="s">
        <v>1079</v>
      </c>
      <c r="AE138" s="39"/>
      <c r="AF138" s="102">
        <f>13200000*0.3+30000000*0.7+5000000</f>
        <v>29960000</v>
      </c>
      <c r="AG138" s="102">
        <f>13200000*0.3+30000000*0.7+5000000</f>
        <v>29960000</v>
      </c>
      <c r="AH138" s="17">
        <v>1735937842</v>
      </c>
    </row>
    <row r="139" spans="1:34" ht="57">
      <c r="A139" s="40"/>
      <c r="B139" s="40"/>
      <c r="C139" s="42"/>
      <c r="D139" s="42"/>
      <c r="E139" s="42"/>
      <c r="F139" s="42"/>
      <c r="G139" s="42"/>
      <c r="H139" s="42"/>
      <c r="I139" s="57"/>
      <c r="J139" s="39" t="s">
        <v>891</v>
      </c>
      <c r="K139" s="39">
        <v>0</v>
      </c>
      <c r="L139" s="39">
        <v>1</v>
      </c>
      <c r="M139" s="39" t="s">
        <v>627</v>
      </c>
      <c r="N139" s="39">
        <v>1</v>
      </c>
      <c r="O139" s="39">
        <v>0</v>
      </c>
      <c r="P139" s="39">
        <v>0</v>
      </c>
      <c r="Q139" s="39">
        <v>0</v>
      </c>
      <c r="R139" s="39">
        <v>1</v>
      </c>
      <c r="S139" s="39" t="s">
        <v>287</v>
      </c>
      <c r="T139" s="9">
        <v>65000000</v>
      </c>
      <c r="U139" s="29"/>
      <c r="V139" s="3"/>
      <c r="W139" s="3"/>
      <c r="X139" s="3"/>
      <c r="Y139" s="3"/>
      <c r="Z139" s="3">
        <f t="shared" ref="Z139:Z202" si="2">+T139+U139+V139+W139+X139+Y139</f>
        <v>65000000</v>
      </c>
      <c r="AA139" s="48"/>
      <c r="AB139" s="39" t="s">
        <v>552</v>
      </c>
      <c r="AC139" s="39" t="s">
        <v>1081</v>
      </c>
      <c r="AD139" s="39" t="s">
        <v>1082</v>
      </c>
      <c r="AE139" s="39" t="s">
        <v>1080</v>
      </c>
      <c r="AF139" s="102">
        <f>5000000+35979992</f>
        <v>40979992</v>
      </c>
      <c r="AG139" s="102">
        <f>5000000+35979992</f>
        <v>40979992</v>
      </c>
      <c r="AH139" s="17">
        <v>32500000</v>
      </c>
    </row>
    <row r="140" spans="1:34" ht="28.5">
      <c r="A140" s="40"/>
      <c r="B140" s="40"/>
      <c r="C140" s="42"/>
      <c r="D140" s="42"/>
      <c r="E140" s="42"/>
      <c r="F140" s="42"/>
      <c r="G140" s="42"/>
      <c r="H140" s="42"/>
      <c r="I140" s="57"/>
      <c r="J140" s="39" t="s">
        <v>892</v>
      </c>
      <c r="K140" s="39">
        <v>0</v>
      </c>
      <c r="L140" s="39">
        <v>1</v>
      </c>
      <c r="M140" s="39" t="s">
        <v>627</v>
      </c>
      <c r="N140" s="39">
        <v>0</v>
      </c>
      <c r="O140" s="39">
        <v>1</v>
      </c>
      <c r="P140" s="39">
        <v>0</v>
      </c>
      <c r="Q140" s="39">
        <v>0</v>
      </c>
      <c r="R140" s="39"/>
      <c r="S140" s="39" t="s">
        <v>287</v>
      </c>
      <c r="T140" s="9">
        <v>295000000</v>
      </c>
      <c r="U140" s="29"/>
      <c r="V140" s="3"/>
      <c r="W140" s="3"/>
      <c r="X140" s="3"/>
      <c r="Y140" s="3"/>
      <c r="Z140" s="3">
        <f t="shared" si="2"/>
        <v>295000000</v>
      </c>
      <c r="AA140" s="48"/>
      <c r="AB140" s="39" t="s">
        <v>499</v>
      </c>
      <c r="AC140" s="39"/>
      <c r="AD140" s="39"/>
      <c r="AE140" s="39"/>
      <c r="AF140" s="102"/>
      <c r="AG140" s="102"/>
      <c r="AH140" s="17">
        <v>47500000</v>
      </c>
    </row>
    <row r="141" spans="1:34" ht="28.5">
      <c r="A141" s="40"/>
      <c r="B141" s="40"/>
      <c r="C141" s="42"/>
      <c r="D141" s="42"/>
      <c r="E141" s="42"/>
      <c r="F141" s="42"/>
      <c r="G141" s="42"/>
      <c r="H141" s="42"/>
      <c r="I141" s="57"/>
      <c r="J141" s="26" t="s">
        <v>893</v>
      </c>
      <c r="K141" s="39">
        <v>0</v>
      </c>
      <c r="L141" s="39">
        <v>1</v>
      </c>
      <c r="M141" s="39" t="s">
        <v>627</v>
      </c>
      <c r="N141" s="39">
        <v>0</v>
      </c>
      <c r="O141" s="39">
        <v>0.5</v>
      </c>
      <c r="P141" s="39">
        <v>0.75</v>
      </c>
      <c r="Q141" s="39">
        <v>1</v>
      </c>
      <c r="R141" s="39"/>
      <c r="S141" s="39" t="s">
        <v>287</v>
      </c>
      <c r="T141" s="9">
        <v>1875000000</v>
      </c>
      <c r="U141" s="29"/>
      <c r="V141" s="3"/>
      <c r="W141" s="3"/>
      <c r="X141" s="3"/>
      <c r="Y141" s="3"/>
      <c r="Z141" s="3">
        <f t="shared" si="2"/>
        <v>1875000000</v>
      </c>
      <c r="AA141" s="48"/>
      <c r="AB141" s="39" t="s">
        <v>551</v>
      </c>
      <c r="AC141" s="26"/>
      <c r="AD141" s="26"/>
      <c r="AE141" s="26"/>
      <c r="AF141" s="102"/>
      <c r="AG141" s="102"/>
      <c r="AH141" s="17">
        <v>60000000</v>
      </c>
    </row>
    <row r="142" spans="1:34" ht="42.75">
      <c r="A142" s="40"/>
      <c r="B142" s="40" t="s">
        <v>21</v>
      </c>
      <c r="C142" s="42" t="s">
        <v>576</v>
      </c>
      <c r="D142" s="42" t="s">
        <v>591</v>
      </c>
      <c r="E142" s="42" t="s">
        <v>148</v>
      </c>
      <c r="F142" s="43" t="s">
        <v>697</v>
      </c>
      <c r="G142" s="42" t="s">
        <v>894</v>
      </c>
      <c r="H142" s="42" t="s">
        <v>698</v>
      </c>
      <c r="I142" s="42" t="s">
        <v>699</v>
      </c>
      <c r="J142" s="39" t="s">
        <v>896</v>
      </c>
      <c r="K142" s="39">
        <v>0</v>
      </c>
      <c r="L142" s="39">
        <v>15</v>
      </c>
      <c r="M142" s="39" t="s">
        <v>627</v>
      </c>
      <c r="N142" s="39">
        <v>0</v>
      </c>
      <c r="O142" s="39">
        <v>5</v>
      </c>
      <c r="P142" s="39">
        <v>10</v>
      </c>
      <c r="Q142" s="39">
        <v>15</v>
      </c>
      <c r="R142" s="39">
        <v>3</v>
      </c>
      <c r="S142" s="32" t="s">
        <v>286</v>
      </c>
      <c r="T142" s="29"/>
      <c r="U142" s="29">
        <f>10064527664-5835472336</f>
        <v>4229055328</v>
      </c>
      <c r="V142" s="3"/>
      <c r="W142" s="3"/>
      <c r="X142" s="3"/>
      <c r="Y142" s="3">
        <v>1024254916</v>
      </c>
      <c r="Z142" s="3">
        <f t="shared" si="2"/>
        <v>5253310244</v>
      </c>
      <c r="AA142" s="47" t="s">
        <v>148</v>
      </c>
      <c r="AB142" s="39" t="s">
        <v>536</v>
      </c>
      <c r="AC142" s="39" t="s">
        <v>1223</v>
      </c>
      <c r="AD142" s="39" t="s">
        <v>1224</v>
      </c>
      <c r="AE142" s="39"/>
      <c r="AF142" s="102">
        <v>1254409569</v>
      </c>
      <c r="AG142" s="102">
        <v>1254409569</v>
      </c>
      <c r="AH142" s="17">
        <v>2310611160</v>
      </c>
    </row>
    <row r="143" spans="1:34">
      <c r="A143" s="40"/>
      <c r="B143" s="40"/>
      <c r="C143" s="42"/>
      <c r="D143" s="42"/>
      <c r="E143" s="42"/>
      <c r="F143" s="43"/>
      <c r="G143" s="42"/>
      <c r="H143" s="42"/>
      <c r="I143" s="42"/>
      <c r="J143" s="39" t="s">
        <v>897</v>
      </c>
      <c r="K143" s="39">
        <v>6100</v>
      </c>
      <c r="L143" s="39">
        <v>6200</v>
      </c>
      <c r="M143" s="39" t="s">
        <v>627</v>
      </c>
      <c r="N143" s="39">
        <v>0</v>
      </c>
      <c r="O143" s="39">
        <v>6130</v>
      </c>
      <c r="P143" s="39">
        <v>6160</v>
      </c>
      <c r="Q143" s="39">
        <v>6200</v>
      </c>
      <c r="R143" s="39">
        <v>0</v>
      </c>
      <c r="S143" s="32" t="s">
        <v>286</v>
      </c>
      <c r="T143" s="29"/>
      <c r="U143" s="29">
        <v>600000000</v>
      </c>
      <c r="V143" s="3"/>
      <c r="W143" s="3"/>
      <c r="X143" s="3"/>
      <c r="Y143" s="3"/>
      <c r="Z143" s="3">
        <f t="shared" si="2"/>
        <v>600000000</v>
      </c>
      <c r="AA143" s="48"/>
      <c r="AB143" s="39" t="s">
        <v>537</v>
      </c>
      <c r="AC143" s="39"/>
      <c r="AD143" s="39"/>
      <c r="AE143" s="39"/>
      <c r="AF143" s="102"/>
      <c r="AG143" s="102"/>
      <c r="AH143" s="17">
        <v>100000000</v>
      </c>
    </row>
    <row r="144" spans="1:34">
      <c r="A144" s="40"/>
      <c r="B144" s="40"/>
      <c r="C144" s="42"/>
      <c r="D144" s="42"/>
      <c r="E144" s="42"/>
      <c r="F144" s="43"/>
      <c r="G144" s="42"/>
      <c r="H144" s="42"/>
      <c r="I144" s="42"/>
      <c r="J144" s="39" t="s">
        <v>898</v>
      </c>
      <c r="K144" s="39">
        <v>0</v>
      </c>
      <c r="L144" s="39">
        <v>600</v>
      </c>
      <c r="M144" s="39" t="s">
        <v>627</v>
      </c>
      <c r="N144" s="39">
        <v>0</v>
      </c>
      <c r="O144" s="39">
        <v>200</v>
      </c>
      <c r="P144" s="39">
        <v>400</v>
      </c>
      <c r="Q144" s="39">
        <v>600</v>
      </c>
      <c r="R144" s="39">
        <v>0</v>
      </c>
      <c r="S144" s="32" t="s">
        <v>286</v>
      </c>
      <c r="T144" s="29"/>
      <c r="U144" s="29">
        <v>700000000</v>
      </c>
      <c r="V144" s="3"/>
      <c r="W144" s="3"/>
      <c r="X144" s="3"/>
      <c r="Y144" s="3"/>
      <c r="Z144" s="3">
        <f t="shared" si="2"/>
        <v>700000000</v>
      </c>
      <c r="AA144" s="48"/>
      <c r="AB144" s="39" t="s">
        <v>538</v>
      </c>
      <c r="AC144" s="39"/>
      <c r="AD144" s="39"/>
      <c r="AE144" s="39"/>
      <c r="AF144" s="102"/>
      <c r="AG144" s="102"/>
      <c r="AH144" s="17">
        <v>100000000</v>
      </c>
    </row>
    <row r="145" spans="1:34">
      <c r="A145" s="40"/>
      <c r="B145" s="40"/>
      <c r="C145" s="42"/>
      <c r="D145" s="42"/>
      <c r="E145" s="42"/>
      <c r="F145" s="43"/>
      <c r="G145" s="42"/>
      <c r="H145" s="42"/>
      <c r="I145" s="42"/>
      <c r="J145" s="39" t="s">
        <v>899</v>
      </c>
      <c r="K145" s="39">
        <v>0</v>
      </c>
      <c r="L145" s="39">
        <v>1</v>
      </c>
      <c r="M145" s="39" t="s">
        <v>627</v>
      </c>
      <c r="N145" s="39">
        <v>0</v>
      </c>
      <c r="O145" s="39">
        <v>0.25</v>
      </c>
      <c r="P145" s="39">
        <v>0.5</v>
      </c>
      <c r="Q145" s="39">
        <v>1</v>
      </c>
      <c r="R145" s="39">
        <v>0</v>
      </c>
      <c r="S145" s="32" t="s">
        <v>286</v>
      </c>
      <c r="T145" s="29"/>
      <c r="U145" s="29">
        <v>300000000</v>
      </c>
      <c r="V145" s="3"/>
      <c r="W145" s="3"/>
      <c r="X145" s="3"/>
      <c r="Y145" s="3"/>
      <c r="Z145" s="3">
        <f t="shared" si="2"/>
        <v>300000000</v>
      </c>
      <c r="AA145" s="48"/>
      <c r="AB145" s="39" t="s">
        <v>539</v>
      </c>
      <c r="AC145" s="39"/>
      <c r="AD145" s="39"/>
      <c r="AE145" s="39"/>
      <c r="AF145" s="102"/>
      <c r="AG145" s="102"/>
      <c r="AH145" s="17">
        <v>75000000</v>
      </c>
    </row>
    <row r="146" spans="1:34" ht="28.5">
      <c r="A146" s="40"/>
      <c r="B146" s="40"/>
      <c r="C146" s="42"/>
      <c r="D146" s="42"/>
      <c r="E146" s="42"/>
      <c r="F146" s="43"/>
      <c r="G146" s="42"/>
      <c r="H146" s="42"/>
      <c r="I146" s="42"/>
      <c r="J146" s="39" t="s">
        <v>900</v>
      </c>
      <c r="K146" s="39">
        <v>0</v>
      </c>
      <c r="L146" s="39">
        <v>2</v>
      </c>
      <c r="M146" s="39" t="s">
        <v>627</v>
      </c>
      <c r="N146" s="39">
        <v>0</v>
      </c>
      <c r="O146" s="39">
        <v>1</v>
      </c>
      <c r="P146" s="39">
        <v>2</v>
      </c>
      <c r="Q146" s="39">
        <v>0</v>
      </c>
      <c r="R146" s="39">
        <v>0</v>
      </c>
      <c r="S146" s="32" t="s">
        <v>286</v>
      </c>
      <c r="T146" s="29"/>
      <c r="U146" s="29">
        <v>600000000</v>
      </c>
      <c r="V146" s="3"/>
      <c r="W146" s="3"/>
      <c r="X146" s="3"/>
      <c r="Y146" s="3"/>
      <c r="Z146" s="3">
        <f t="shared" si="2"/>
        <v>600000000</v>
      </c>
      <c r="AA146" s="48"/>
      <c r="AB146" s="39" t="s">
        <v>540</v>
      </c>
      <c r="AC146" s="39"/>
      <c r="AD146" s="39"/>
      <c r="AE146" s="39"/>
      <c r="AF146" s="102"/>
      <c r="AG146" s="102"/>
      <c r="AH146" s="17">
        <v>0</v>
      </c>
    </row>
    <row r="147" spans="1:34" ht="71.25">
      <c r="A147" s="40"/>
      <c r="B147" s="40"/>
      <c r="C147" s="42"/>
      <c r="D147" s="42"/>
      <c r="E147" s="42"/>
      <c r="F147" s="43"/>
      <c r="G147" s="42"/>
      <c r="H147" s="42"/>
      <c r="I147" s="42"/>
      <c r="J147" s="39" t="s">
        <v>901</v>
      </c>
      <c r="K147" s="39">
        <v>50</v>
      </c>
      <c r="L147" s="39">
        <v>50</v>
      </c>
      <c r="M147" s="39" t="s">
        <v>628</v>
      </c>
      <c r="N147" s="39">
        <v>50</v>
      </c>
      <c r="O147" s="39">
        <v>50</v>
      </c>
      <c r="P147" s="39">
        <v>50</v>
      </c>
      <c r="Q147" s="39">
        <v>50</v>
      </c>
      <c r="R147" s="39">
        <v>53</v>
      </c>
      <c r="S147" s="32" t="s">
        <v>286</v>
      </c>
      <c r="T147" s="29"/>
      <c r="U147" s="29">
        <v>800000000</v>
      </c>
      <c r="V147" s="3"/>
      <c r="W147" s="3"/>
      <c r="X147" s="3"/>
      <c r="Y147" s="3">
        <v>296587285</v>
      </c>
      <c r="Z147" s="3">
        <f t="shared" si="2"/>
        <v>1096587285</v>
      </c>
      <c r="AA147" s="48"/>
      <c r="AB147" s="39" t="s">
        <v>541</v>
      </c>
      <c r="AC147" s="39" t="s">
        <v>1214</v>
      </c>
      <c r="AD147" s="39" t="s">
        <v>1215</v>
      </c>
      <c r="AE147" s="39" t="s">
        <v>1216</v>
      </c>
      <c r="AF147" s="102">
        <v>114799999</v>
      </c>
      <c r="AG147" s="102">
        <v>114799999</v>
      </c>
      <c r="AH147" s="17">
        <v>100000000</v>
      </c>
    </row>
    <row r="148" spans="1:34" ht="71.25">
      <c r="A148" s="40"/>
      <c r="B148" s="40"/>
      <c r="C148" s="42"/>
      <c r="D148" s="42"/>
      <c r="E148" s="42"/>
      <c r="F148" s="43"/>
      <c r="G148" s="42"/>
      <c r="H148" s="42"/>
      <c r="I148" s="42"/>
      <c r="J148" s="39" t="s">
        <v>902</v>
      </c>
      <c r="K148" s="39">
        <v>50</v>
      </c>
      <c r="L148" s="39">
        <v>50</v>
      </c>
      <c r="M148" s="39" t="s">
        <v>628</v>
      </c>
      <c r="N148" s="39">
        <v>50</v>
      </c>
      <c r="O148" s="39">
        <v>50</v>
      </c>
      <c r="P148" s="39">
        <v>50</v>
      </c>
      <c r="Q148" s="39">
        <v>50</v>
      </c>
      <c r="R148" s="39">
        <v>53</v>
      </c>
      <c r="S148" s="32" t="s">
        <v>286</v>
      </c>
      <c r="T148" s="29"/>
      <c r="U148" s="29">
        <f>1635472336-1000000</f>
        <v>1634472336</v>
      </c>
      <c r="V148" s="3"/>
      <c r="W148" s="3"/>
      <c r="X148" s="3"/>
      <c r="Y148" s="3"/>
      <c r="Z148" s="3">
        <f t="shared" si="2"/>
        <v>1634472336</v>
      </c>
      <c r="AA148" s="48"/>
      <c r="AB148" s="39" t="s">
        <v>542</v>
      </c>
      <c r="AC148" s="39" t="s">
        <v>1217</v>
      </c>
      <c r="AD148" s="39" t="s">
        <v>1218</v>
      </c>
      <c r="AE148" s="39" t="s">
        <v>1219</v>
      </c>
      <c r="AF148" s="102">
        <v>3125234293</v>
      </c>
      <c r="AG148" s="102">
        <v>2401622938</v>
      </c>
      <c r="AH148" s="17">
        <v>0</v>
      </c>
    </row>
    <row r="149" spans="1:34" ht="28.5">
      <c r="A149" s="40"/>
      <c r="B149" s="40"/>
      <c r="C149" s="42"/>
      <c r="D149" s="42"/>
      <c r="E149" s="42"/>
      <c r="F149" s="43"/>
      <c r="G149" s="42"/>
      <c r="H149" s="42"/>
      <c r="I149" s="42" t="s">
        <v>700</v>
      </c>
      <c r="J149" s="39" t="s">
        <v>903</v>
      </c>
      <c r="K149" s="32">
        <v>1</v>
      </c>
      <c r="L149" s="32">
        <v>1</v>
      </c>
      <c r="M149" s="39" t="s">
        <v>628</v>
      </c>
      <c r="N149" s="32">
        <v>1</v>
      </c>
      <c r="O149" s="32">
        <v>1</v>
      </c>
      <c r="P149" s="32">
        <v>1</v>
      </c>
      <c r="Q149" s="32">
        <v>1</v>
      </c>
      <c r="R149" s="32">
        <v>1</v>
      </c>
      <c r="S149" s="32" t="s">
        <v>286</v>
      </c>
      <c r="T149" s="29"/>
      <c r="U149" s="29">
        <v>600000000</v>
      </c>
      <c r="V149" s="3"/>
      <c r="W149" s="3"/>
      <c r="X149" s="3"/>
      <c r="Y149" s="3"/>
      <c r="Z149" s="3">
        <f t="shared" si="2"/>
        <v>600000000</v>
      </c>
      <c r="AA149" s="48"/>
      <c r="AB149" s="39" t="s">
        <v>632</v>
      </c>
      <c r="AC149" s="39" t="s">
        <v>1220</v>
      </c>
      <c r="AD149" s="39" t="s">
        <v>1221</v>
      </c>
      <c r="AE149" s="39"/>
      <c r="AF149" s="102">
        <v>261521892</v>
      </c>
      <c r="AG149" s="102">
        <v>261521892</v>
      </c>
      <c r="AH149" s="17">
        <v>650000000</v>
      </c>
    </row>
    <row r="150" spans="1:34" ht="42.75">
      <c r="A150" s="40"/>
      <c r="B150" s="40"/>
      <c r="C150" s="42"/>
      <c r="D150" s="42"/>
      <c r="E150" s="42"/>
      <c r="F150" s="43"/>
      <c r="G150" s="42"/>
      <c r="H150" s="42"/>
      <c r="I150" s="42"/>
      <c r="J150" s="39" t="s">
        <v>1332</v>
      </c>
      <c r="K150" s="32">
        <v>0</v>
      </c>
      <c r="L150" s="32">
        <v>1</v>
      </c>
      <c r="M150" s="39" t="s">
        <v>627</v>
      </c>
      <c r="N150" s="32">
        <v>0</v>
      </c>
      <c r="O150" s="32">
        <v>0.25</v>
      </c>
      <c r="P150" s="32">
        <v>0.5</v>
      </c>
      <c r="Q150" s="32">
        <v>1</v>
      </c>
      <c r="R150" s="32">
        <v>0</v>
      </c>
      <c r="S150" s="32" t="s">
        <v>286</v>
      </c>
      <c r="T150" s="29"/>
      <c r="U150" s="29">
        <v>600000000</v>
      </c>
      <c r="V150" s="3"/>
      <c r="W150" s="3"/>
      <c r="X150" s="3"/>
      <c r="Y150" s="3"/>
      <c r="Z150" s="3">
        <f t="shared" si="2"/>
        <v>600000000</v>
      </c>
      <c r="AA150" s="48"/>
      <c r="AB150" s="39" t="s">
        <v>543</v>
      </c>
      <c r="AC150" s="39"/>
      <c r="AD150" s="39"/>
      <c r="AE150" s="39"/>
      <c r="AF150" s="102"/>
      <c r="AG150" s="102"/>
      <c r="AH150" s="17">
        <v>0</v>
      </c>
    </row>
    <row r="151" spans="1:34" ht="99.75">
      <c r="A151" s="40"/>
      <c r="B151" s="40"/>
      <c r="C151" s="42"/>
      <c r="D151" s="42"/>
      <c r="E151" s="42"/>
      <c r="F151" s="42" t="s">
        <v>616</v>
      </c>
      <c r="G151" s="42" t="s">
        <v>895</v>
      </c>
      <c r="H151" s="42" t="s">
        <v>612</v>
      </c>
      <c r="I151" s="42" t="s">
        <v>701</v>
      </c>
      <c r="J151" s="39" t="s">
        <v>904</v>
      </c>
      <c r="K151" s="39">
        <v>0</v>
      </c>
      <c r="L151" s="39">
        <v>1</v>
      </c>
      <c r="M151" s="39" t="s">
        <v>627</v>
      </c>
      <c r="N151" s="39">
        <v>0</v>
      </c>
      <c r="O151" s="39">
        <v>1</v>
      </c>
      <c r="P151" s="39">
        <v>0</v>
      </c>
      <c r="Q151" s="39">
        <v>0</v>
      </c>
      <c r="R151" s="39">
        <v>0</v>
      </c>
      <c r="S151" s="32" t="s">
        <v>286</v>
      </c>
      <c r="T151" s="41"/>
      <c r="U151" s="41">
        <v>1000000</v>
      </c>
      <c r="V151" s="52"/>
      <c r="W151" s="52"/>
      <c r="X151" s="52"/>
      <c r="Y151" s="52"/>
      <c r="Z151" s="52">
        <f t="shared" si="2"/>
        <v>1000000</v>
      </c>
      <c r="AA151" s="48"/>
      <c r="AB151" s="39" t="s">
        <v>544</v>
      </c>
      <c r="AC151" s="39"/>
      <c r="AD151" s="39"/>
      <c r="AE151" s="39" t="s">
        <v>1222</v>
      </c>
      <c r="AF151" s="102"/>
      <c r="AG151" s="102"/>
      <c r="AH151" s="17">
        <v>1000000</v>
      </c>
    </row>
    <row r="152" spans="1:34" ht="28.5">
      <c r="A152" s="40"/>
      <c r="B152" s="40"/>
      <c r="C152" s="42"/>
      <c r="D152" s="42"/>
      <c r="E152" s="42"/>
      <c r="F152" s="42"/>
      <c r="G152" s="42"/>
      <c r="H152" s="42"/>
      <c r="I152" s="42"/>
      <c r="J152" s="39" t="s">
        <v>619</v>
      </c>
      <c r="K152" s="39">
        <v>0</v>
      </c>
      <c r="L152" s="39">
        <v>1</v>
      </c>
      <c r="M152" s="39" t="s">
        <v>627</v>
      </c>
      <c r="N152" s="39">
        <v>0</v>
      </c>
      <c r="O152" s="39">
        <v>0.5</v>
      </c>
      <c r="P152" s="39">
        <v>1</v>
      </c>
      <c r="Q152" s="39">
        <v>0</v>
      </c>
      <c r="R152" s="39">
        <v>0</v>
      </c>
      <c r="S152" s="32" t="s">
        <v>286</v>
      </c>
      <c r="T152" s="41"/>
      <c r="U152" s="41"/>
      <c r="V152" s="52"/>
      <c r="W152" s="52"/>
      <c r="X152" s="52"/>
      <c r="Y152" s="52"/>
      <c r="Z152" s="52">
        <f t="shared" si="2"/>
        <v>0</v>
      </c>
      <c r="AA152" s="49"/>
      <c r="AB152" s="39" t="s">
        <v>545</v>
      </c>
      <c r="AC152" s="39"/>
      <c r="AD152" s="39"/>
      <c r="AE152" s="39"/>
      <c r="AF152" s="102"/>
      <c r="AG152" s="102"/>
      <c r="AH152" s="17">
        <v>150000000</v>
      </c>
    </row>
    <row r="153" spans="1:34" ht="114">
      <c r="A153" s="40"/>
      <c r="B153" s="40" t="s">
        <v>6</v>
      </c>
      <c r="C153" s="42" t="s">
        <v>89</v>
      </c>
      <c r="D153" s="42" t="s">
        <v>592</v>
      </c>
      <c r="E153" s="42" t="s">
        <v>151</v>
      </c>
      <c r="F153" s="56" t="s">
        <v>266</v>
      </c>
      <c r="G153" s="42" t="s">
        <v>267</v>
      </c>
      <c r="H153" s="42" t="s">
        <v>702</v>
      </c>
      <c r="I153" s="39" t="s">
        <v>705</v>
      </c>
      <c r="J153" s="39" t="s">
        <v>905</v>
      </c>
      <c r="K153" s="15">
        <v>211</v>
      </c>
      <c r="L153" s="15">
        <f>K153+2000</f>
        <v>2211</v>
      </c>
      <c r="M153" s="39" t="s">
        <v>627</v>
      </c>
      <c r="N153" s="15">
        <f>+K153+400</f>
        <v>611</v>
      </c>
      <c r="O153" s="15">
        <f>+N153+400</f>
        <v>1011</v>
      </c>
      <c r="P153" s="15">
        <f>+O153+500</f>
        <v>1511</v>
      </c>
      <c r="Q153" s="15">
        <f>+P153+700</f>
        <v>2211</v>
      </c>
      <c r="R153" s="15"/>
      <c r="S153" s="32" t="s">
        <v>46</v>
      </c>
      <c r="T153" s="29"/>
      <c r="U153" s="29"/>
      <c r="V153" s="3"/>
      <c r="W153" s="3"/>
      <c r="X153" s="3"/>
      <c r="Y153" s="3">
        <v>1080000000</v>
      </c>
      <c r="Z153" s="3">
        <f t="shared" si="2"/>
        <v>1080000000</v>
      </c>
      <c r="AA153" s="47" t="s">
        <v>340</v>
      </c>
      <c r="AB153" s="39" t="s">
        <v>633</v>
      </c>
      <c r="AC153" s="39" t="s">
        <v>1193</v>
      </c>
      <c r="AD153" s="39" t="s">
        <v>1194</v>
      </c>
      <c r="AE153" s="39" t="s">
        <v>1195</v>
      </c>
      <c r="AF153" s="102">
        <v>1327012879</v>
      </c>
      <c r="AG153" s="102">
        <v>965722000</v>
      </c>
      <c r="AH153" s="17">
        <v>300000000</v>
      </c>
    </row>
    <row r="154" spans="1:34" ht="42.75">
      <c r="A154" s="40"/>
      <c r="B154" s="40"/>
      <c r="C154" s="42"/>
      <c r="D154" s="42"/>
      <c r="E154" s="42"/>
      <c r="F154" s="56"/>
      <c r="G154" s="42"/>
      <c r="H154" s="42"/>
      <c r="I154" s="39" t="s">
        <v>706</v>
      </c>
      <c r="J154" s="39" t="s">
        <v>906</v>
      </c>
      <c r="K154" s="15">
        <v>0</v>
      </c>
      <c r="L154" s="15">
        <v>150</v>
      </c>
      <c r="M154" s="39" t="s">
        <v>627</v>
      </c>
      <c r="N154" s="15">
        <v>0</v>
      </c>
      <c r="O154" s="15">
        <v>50</v>
      </c>
      <c r="P154" s="15">
        <v>100</v>
      </c>
      <c r="Q154" s="15">
        <v>150</v>
      </c>
      <c r="R154" s="15"/>
      <c r="S154" s="32" t="s">
        <v>46</v>
      </c>
      <c r="T154" s="29"/>
      <c r="U154" s="29"/>
      <c r="V154" s="3"/>
      <c r="W154" s="3"/>
      <c r="X154" s="3"/>
      <c r="Y154" s="3">
        <f>150*10000000+500000000</f>
        <v>2000000000</v>
      </c>
      <c r="Z154" s="3">
        <f t="shared" si="2"/>
        <v>2000000000</v>
      </c>
      <c r="AA154" s="48"/>
      <c r="AB154" s="39" t="s">
        <v>634</v>
      </c>
      <c r="AC154" s="39"/>
      <c r="AD154" s="39"/>
      <c r="AE154" s="39" t="s">
        <v>1196</v>
      </c>
      <c r="AF154" s="102"/>
      <c r="AG154" s="102"/>
      <c r="AH154" s="17">
        <v>100000000</v>
      </c>
    </row>
    <row r="155" spans="1:34" ht="57">
      <c r="A155" s="40"/>
      <c r="B155" s="40"/>
      <c r="C155" s="42"/>
      <c r="D155" s="42"/>
      <c r="E155" s="42"/>
      <c r="F155" s="56"/>
      <c r="G155" s="42"/>
      <c r="H155" s="39" t="s">
        <v>703</v>
      </c>
      <c r="I155" s="39" t="s">
        <v>707</v>
      </c>
      <c r="J155" s="39" t="s">
        <v>907</v>
      </c>
      <c r="K155" s="15">
        <v>0</v>
      </c>
      <c r="L155" s="15">
        <v>300</v>
      </c>
      <c r="M155" s="39" t="s">
        <v>627</v>
      </c>
      <c r="N155" s="15">
        <v>50</v>
      </c>
      <c r="O155" s="15">
        <v>100</v>
      </c>
      <c r="P155" s="15">
        <v>200</v>
      </c>
      <c r="Q155" s="15">
        <v>300</v>
      </c>
      <c r="R155" s="15"/>
      <c r="S155" s="39" t="s">
        <v>46</v>
      </c>
      <c r="T155" s="29">
        <f>500000*300</f>
        <v>150000000</v>
      </c>
      <c r="U155" s="29"/>
      <c r="V155" s="3"/>
      <c r="W155" s="3"/>
      <c r="X155" s="3"/>
      <c r="Y155" s="3"/>
      <c r="Z155" s="3">
        <f t="shared" si="2"/>
        <v>150000000</v>
      </c>
      <c r="AA155" s="48"/>
      <c r="AB155" s="39" t="s">
        <v>37</v>
      </c>
      <c r="AC155" s="39" t="s">
        <v>1197</v>
      </c>
      <c r="AD155" s="39" t="s">
        <v>1198</v>
      </c>
      <c r="AE155" s="39" t="s">
        <v>1199</v>
      </c>
      <c r="AF155" s="102">
        <v>54101601</v>
      </c>
      <c r="AG155" s="102">
        <v>54101601</v>
      </c>
      <c r="AH155" s="17">
        <v>100000000</v>
      </c>
    </row>
    <row r="156" spans="1:34" ht="57">
      <c r="A156" s="40"/>
      <c r="B156" s="40"/>
      <c r="C156" s="42"/>
      <c r="D156" s="42"/>
      <c r="E156" s="42"/>
      <c r="F156" s="56"/>
      <c r="G156" s="42"/>
      <c r="H156" s="39" t="s">
        <v>704</v>
      </c>
      <c r="I156" s="39" t="s">
        <v>708</v>
      </c>
      <c r="J156" s="39" t="s">
        <v>908</v>
      </c>
      <c r="K156" s="15">
        <v>0</v>
      </c>
      <c r="L156" s="15">
        <v>1</v>
      </c>
      <c r="M156" s="39" t="s">
        <v>627</v>
      </c>
      <c r="N156" s="15">
        <v>0</v>
      </c>
      <c r="O156" s="15">
        <v>0.25</v>
      </c>
      <c r="P156" s="15">
        <v>0.5</v>
      </c>
      <c r="Q156" s="15">
        <v>1</v>
      </c>
      <c r="R156" s="15"/>
      <c r="S156" s="39" t="s">
        <v>46</v>
      </c>
      <c r="T156" s="29">
        <v>200000000</v>
      </c>
      <c r="U156" s="29"/>
      <c r="V156" s="3"/>
      <c r="W156" s="3"/>
      <c r="X156" s="3"/>
      <c r="Y156" s="3">
        <v>404065297</v>
      </c>
      <c r="Z156" s="3">
        <f t="shared" si="2"/>
        <v>604065297</v>
      </c>
      <c r="AA156" s="49"/>
      <c r="AB156" s="39" t="s">
        <v>571</v>
      </c>
      <c r="AC156" s="39"/>
      <c r="AD156" s="39"/>
      <c r="AE156" s="39" t="s">
        <v>1200</v>
      </c>
      <c r="AF156" s="102"/>
      <c r="AG156" s="102">
        <v>0</v>
      </c>
      <c r="AH156" s="17">
        <v>0</v>
      </c>
    </row>
    <row r="157" spans="1:34" ht="57">
      <c r="A157" s="40"/>
      <c r="B157" s="53" t="s">
        <v>117</v>
      </c>
      <c r="C157" s="47" t="s">
        <v>234</v>
      </c>
      <c r="D157" s="47" t="s">
        <v>150</v>
      </c>
      <c r="E157" s="47" t="s">
        <v>607</v>
      </c>
      <c r="F157" s="47" t="s">
        <v>268</v>
      </c>
      <c r="G157" s="47" t="s">
        <v>269</v>
      </c>
      <c r="H157" s="42" t="s">
        <v>85</v>
      </c>
      <c r="I157" s="42" t="s">
        <v>149</v>
      </c>
      <c r="J157" s="39" t="s">
        <v>909</v>
      </c>
      <c r="K157" s="39">
        <v>0</v>
      </c>
      <c r="L157" s="39">
        <v>1000</v>
      </c>
      <c r="M157" s="39" t="s">
        <v>627</v>
      </c>
      <c r="N157" s="39">
        <v>770</v>
      </c>
      <c r="O157" s="39">
        <v>870</v>
      </c>
      <c r="P157" s="39">
        <v>970</v>
      </c>
      <c r="Q157" s="39">
        <v>1000</v>
      </c>
      <c r="R157" s="39"/>
      <c r="S157" s="32" t="s">
        <v>288</v>
      </c>
      <c r="T157" s="41"/>
      <c r="U157" s="41"/>
      <c r="V157" s="52"/>
      <c r="W157" s="52"/>
      <c r="X157" s="52"/>
      <c r="Y157" s="41">
        <v>38828789083</v>
      </c>
      <c r="Z157" s="41">
        <f t="shared" si="2"/>
        <v>38828789083</v>
      </c>
      <c r="AA157" s="42" t="s">
        <v>302</v>
      </c>
      <c r="AB157" s="39" t="s">
        <v>421</v>
      </c>
      <c r="AC157" s="39" t="s">
        <v>1225</v>
      </c>
      <c r="AD157" s="39" t="s">
        <v>1226</v>
      </c>
      <c r="AE157" s="47" t="s">
        <v>1227</v>
      </c>
      <c r="AF157" s="102">
        <v>658168077</v>
      </c>
      <c r="AG157" s="102">
        <v>583193889.5</v>
      </c>
      <c r="AH157" s="17">
        <v>9759564645</v>
      </c>
    </row>
    <row r="158" spans="1:34" ht="28.5">
      <c r="A158" s="40"/>
      <c r="B158" s="54"/>
      <c r="C158" s="48"/>
      <c r="D158" s="48"/>
      <c r="E158" s="48"/>
      <c r="F158" s="48"/>
      <c r="G158" s="48"/>
      <c r="H158" s="42"/>
      <c r="I158" s="42"/>
      <c r="J158" s="39" t="s">
        <v>910</v>
      </c>
      <c r="K158" s="39">
        <v>0</v>
      </c>
      <c r="L158" s="39">
        <v>200</v>
      </c>
      <c r="M158" s="39" t="s">
        <v>627</v>
      </c>
      <c r="N158" s="39">
        <v>83</v>
      </c>
      <c r="O158" s="39">
        <f>+N158+50</f>
        <v>133</v>
      </c>
      <c r="P158" s="39">
        <f>+O158+45</f>
        <v>178</v>
      </c>
      <c r="Q158" s="39">
        <f>+P158+22</f>
        <v>200</v>
      </c>
      <c r="R158" s="39"/>
      <c r="S158" s="32" t="s">
        <v>288</v>
      </c>
      <c r="T158" s="41"/>
      <c r="U158" s="41"/>
      <c r="V158" s="52"/>
      <c r="W158" s="52"/>
      <c r="X158" s="52"/>
      <c r="Y158" s="41"/>
      <c r="Z158" s="41">
        <f t="shared" si="2"/>
        <v>0</v>
      </c>
      <c r="AA158" s="42"/>
      <c r="AB158" s="39" t="s">
        <v>422</v>
      </c>
      <c r="AC158" s="39" t="s">
        <v>1228</v>
      </c>
      <c r="AD158" s="39" t="s">
        <v>1229</v>
      </c>
      <c r="AE158" s="48"/>
      <c r="AF158" s="102"/>
      <c r="AG158" s="102"/>
      <c r="AH158" s="17">
        <v>10000000</v>
      </c>
    </row>
    <row r="159" spans="1:34" ht="28.5">
      <c r="A159" s="40"/>
      <c r="B159" s="55"/>
      <c r="C159" s="49"/>
      <c r="D159" s="49"/>
      <c r="E159" s="49"/>
      <c r="F159" s="49"/>
      <c r="G159" s="49"/>
      <c r="H159" s="42"/>
      <c r="I159" s="42"/>
      <c r="J159" s="39" t="s">
        <v>911</v>
      </c>
      <c r="K159" s="39">
        <v>0</v>
      </c>
      <c r="L159" s="39">
        <v>1</v>
      </c>
      <c r="M159" s="39" t="s">
        <v>627</v>
      </c>
      <c r="N159" s="39">
        <v>0</v>
      </c>
      <c r="O159" s="39">
        <v>1</v>
      </c>
      <c r="P159" s="39">
        <v>0</v>
      </c>
      <c r="Q159" s="39">
        <v>0</v>
      </c>
      <c r="R159" s="39"/>
      <c r="S159" s="32" t="s">
        <v>288</v>
      </c>
      <c r="T159" s="29"/>
      <c r="U159" s="29"/>
      <c r="V159" s="31"/>
      <c r="W159" s="31"/>
      <c r="X159" s="31"/>
      <c r="Y159" s="29"/>
      <c r="Z159" s="29">
        <f t="shared" si="2"/>
        <v>0</v>
      </c>
      <c r="AA159" s="42"/>
      <c r="AB159" s="39" t="s">
        <v>423</v>
      </c>
      <c r="AC159" s="39" t="s">
        <v>1230</v>
      </c>
      <c r="AD159" s="39" t="s">
        <v>1231</v>
      </c>
      <c r="AE159" s="49"/>
      <c r="AF159" s="102"/>
      <c r="AG159" s="102"/>
      <c r="AH159" s="17">
        <v>10000000</v>
      </c>
    </row>
    <row r="160" spans="1:34" s="1" customFormat="1" ht="28.5">
      <c r="A160" s="40" t="s">
        <v>95</v>
      </c>
      <c r="B160" s="40" t="s">
        <v>8</v>
      </c>
      <c r="C160" s="42" t="s">
        <v>110</v>
      </c>
      <c r="D160" s="42" t="s">
        <v>593</v>
      </c>
      <c r="E160" s="42" t="s">
        <v>88</v>
      </c>
      <c r="F160" s="42" t="s">
        <v>87</v>
      </c>
      <c r="G160" s="42" t="s">
        <v>270</v>
      </c>
      <c r="H160" s="42" t="s">
        <v>709</v>
      </c>
      <c r="I160" s="42" t="s">
        <v>713</v>
      </c>
      <c r="J160" s="39" t="s">
        <v>912</v>
      </c>
      <c r="K160" s="39">
        <v>0</v>
      </c>
      <c r="L160" s="39">
        <v>700</v>
      </c>
      <c r="M160" s="39" t="s">
        <v>627</v>
      </c>
      <c r="N160" s="39">
        <v>200</v>
      </c>
      <c r="O160" s="39">
        <v>400</v>
      </c>
      <c r="P160" s="39">
        <v>600</v>
      </c>
      <c r="Q160" s="39">
        <v>700</v>
      </c>
      <c r="R160" s="39"/>
      <c r="S160" s="39" t="s">
        <v>289</v>
      </c>
      <c r="T160" s="41">
        <v>2000000000</v>
      </c>
      <c r="U160" s="41">
        <v>800000000</v>
      </c>
      <c r="V160" s="41"/>
      <c r="W160" s="41"/>
      <c r="X160" s="41"/>
      <c r="Y160" s="41"/>
      <c r="Z160" s="41">
        <f t="shared" si="2"/>
        <v>2800000000</v>
      </c>
      <c r="AA160" s="47" t="s">
        <v>464</v>
      </c>
      <c r="AB160" s="39" t="s">
        <v>459</v>
      </c>
      <c r="AC160" s="39"/>
      <c r="AD160" s="39"/>
      <c r="AE160" s="39"/>
      <c r="AF160" s="102"/>
      <c r="AG160" s="102"/>
      <c r="AH160" s="17">
        <v>150000000</v>
      </c>
    </row>
    <row r="161" spans="1:34" s="1" customFormat="1">
      <c r="A161" s="40"/>
      <c r="B161" s="40"/>
      <c r="C161" s="42"/>
      <c r="D161" s="42"/>
      <c r="E161" s="42"/>
      <c r="F161" s="42"/>
      <c r="G161" s="42"/>
      <c r="H161" s="42"/>
      <c r="I161" s="42"/>
      <c r="J161" s="39" t="s">
        <v>913</v>
      </c>
      <c r="K161" s="39">
        <v>0</v>
      </c>
      <c r="L161" s="39">
        <v>700</v>
      </c>
      <c r="M161" s="39" t="s">
        <v>627</v>
      </c>
      <c r="N161" s="39">
        <v>200</v>
      </c>
      <c r="O161" s="39">
        <v>400</v>
      </c>
      <c r="P161" s="39">
        <v>600</v>
      </c>
      <c r="Q161" s="39">
        <v>700</v>
      </c>
      <c r="R161" s="39"/>
      <c r="S161" s="39" t="s">
        <v>289</v>
      </c>
      <c r="T161" s="41"/>
      <c r="U161" s="41"/>
      <c r="V161" s="41"/>
      <c r="W161" s="41"/>
      <c r="X161" s="41"/>
      <c r="Y161" s="41"/>
      <c r="Z161" s="41">
        <f t="shared" si="2"/>
        <v>0</v>
      </c>
      <c r="AA161" s="48"/>
      <c r="AB161" s="39" t="s">
        <v>460</v>
      </c>
      <c r="AC161" s="39"/>
      <c r="AD161" s="39"/>
      <c r="AE161" s="39"/>
      <c r="AF161" s="102"/>
      <c r="AG161" s="102"/>
      <c r="AH161" s="17">
        <v>25000000</v>
      </c>
    </row>
    <row r="162" spans="1:34" s="1" customFormat="1" ht="28.5">
      <c r="A162" s="40"/>
      <c r="B162" s="40"/>
      <c r="C162" s="42"/>
      <c r="D162" s="42"/>
      <c r="E162" s="42"/>
      <c r="F162" s="42"/>
      <c r="G162" s="42"/>
      <c r="H162" s="42"/>
      <c r="I162" s="42" t="s">
        <v>714</v>
      </c>
      <c r="J162" s="39" t="s">
        <v>914</v>
      </c>
      <c r="K162" s="39">
        <v>0</v>
      </c>
      <c r="L162" s="39">
        <v>460</v>
      </c>
      <c r="M162" s="39" t="s">
        <v>627</v>
      </c>
      <c r="N162" s="39">
        <v>100</v>
      </c>
      <c r="O162" s="39">
        <v>200</v>
      </c>
      <c r="P162" s="39">
        <v>300</v>
      </c>
      <c r="Q162" s="39">
        <v>460</v>
      </c>
      <c r="R162" s="39"/>
      <c r="S162" s="39" t="s">
        <v>289</v>
      </c>
      <c r="T162" s="41">
        <v>800000000</v>
      </c>
      <c r="U162" s="41"/>
      <c r="V162" s="41"/>
      <c r="W162" s="41"/>
      <c r="X162" s="41"/>
      <c r="Y162" s="41"/>
      <c r="Z162" s="41">
        <f t="shared" si="2"/>
        <v>800000000</v>
      </c>
      <c r="AA162" s="48"/>
      <c r="AB162" s="39" t="s">
        <v>459</v>
      </c>
      <c r="AC162" s="39"/>
      <c r="AD162" s="39"/>
      <c r="AE162" s="39"/>
      <c r="AF162" s="102"/>
      <c r="AG162" s="102"/>
      <c r="AH162" s="17">
        <v>150000000</v>
      </c>
    </row>
    <row r="163" spans="1:34" s="1" customFormat="1">
      <c r="A163" s="40"/>
      <c r="B163" s="40"/>
      <c r="C163" s="42"/>
      <c r="D163" s="42"/>
      <c r="E163" s="42"/>
      <c r="F163" s="42"/>
      <c r="G163" s="42"/>
      <c r="H163" s="42"/>
      <c r="I163" s="42"/>
      <c r="J163" s="39" t="s">
        <v>915</v>
      </c>
      <c r="K163" s="39">
        <v>0</v>
      </c>
      <c r="L163" s="39">
        <v>460</v>
      </c>
      <c r="M163" s="39" t="s">
        <v>627</v>
      </c>
      <c r="N163" s="39">
        <v>100</v>
      </c>
      <c r="O163" s="39">
        <v>200</v>
      </c>
      <c r="P163" s="39">
        <v>300</v>
      </c>
      <c r="Q163" s="39">
        <v>460</v>
      </c>
      <c r="R163" s="39"/>
      <c r="S163" s="39" t="s">
        <v>289</v>
      </c>
      <c r="T163" s="41"/>
      <c r="U163" s="41"/>
      <c r="V163" s="41"/>
      <c r="W163" s="41"/>
      <c r="X163" s="41"/>
      <c r="Y163" s="41"/>
      <c r="Z163" s="41">
        <f t="shared" si="2"/>
        <v>0</v>
      </c>
      <c r="AA163" s="48"/>
      <c r="AB163" s="39" t="s">
        <v>460</v>
      </c>
      <c r="AC163" s="39"/>
      <c r="AD163" s="39"/>
      <c r="AE163" s="39"/>
      <c r="AF163" s="102"/>
      <c r="AG163" s="102"/>
      <c r="AH163" s="17">
        <v>25000000</v>
      </c>
    </row>
    <row r="164" spans="1:34" s="1" customFormat="1" ht="28.5">
      <c r="A164" s="40"/>
      <c r="B164" s="40"/>
      <c r="C164" s="42"/>
      <c r="D164" s="42"/>
      <c r="E164" s="42"/>
      <c r="F164" s="42"/>
      <c r="G164" s="42"/>
      <c r="H164" s="39" t="s">
        <v>710</v>
      </c>
      <c r="I164" s="33" t="s">
        <v>715</v>
      </c>
      <c r="J164" s="39" t="s">
        <v>916</v>
      </c>
      <c r="K164" s="39">
        <v>0</v>
      </c>
      <c r="L164" s="39">
        <v>10</v>
      </c>
      <c r="M164" s="39" t="s">
        <v>627</v>
      </c>
      <c r="N164" s="30">
        <v>2</v>
      </c>
      <c r="O164" s="30">
        <v>6</v>
      </c>
      <c r="P164" s="30">
        <v>10</v>
      </c>
      <c r="Q164" s="30">
        <v>0</v>
      </c>
      <c r="R164" s="30"/>
      <c r="S164" s="39" t="s">
        <v>289</v>
      </c>
      <c r="T164" s="29">
        <v>757666754</v>
      </c>
      <c r="U164" s="29">
        <v>1000000000</v>
      </c>
      <c r="V164" s="29"/>
      <c r="W164" s="29"/>
      <c r="X164" s="29"/>
      <c r="Y164" s="29"/>
      <c r="Z164" s="29">
        <f t="shared" si="2"/>
        <v>1757666754</v>
      </c>
      <c r="AA164" s="48"/>
      <c r="AB164" s="39" t="s">
        <v>308</v>
      </c>
      <c r="AC164" s="39"/>
      <c r="AD164" s="39"/>
      <c r="AE164" s="39"/>
      <c r="AF164" s="102"/>
      <c r="AG164" s="102"/>
      <c r="AH164" s="17">
        <v>250000000</v>
      </c>
    </row>
    <row r="165" spans="1:34" s="1" customFormat="1" ht="28.5">
      <c r="A165" s="40"/>
      <c r="B165" s="40"/>
      <c r="C165" s="42"/>
      <c r="D165" s="42"/>
      <c r="E165" s="42"/>
      <c r="F165" s="42"/>
      <c r="G165" s="42"/>
      <c r="H165" s="42" t="s">
        <v>711</v>
      </c>
      <c r="I165" s="42" t="s">
        <v>716</v>
      </c>
      <c r="J165" s="39" t="s">
        <v>917</v>
      </c>
      <c r="K165" s="39">
        <v>0</v>
      </c>
      <c r="L165" s="39">
        <v>360</v>
      </c>
      <c r="M165" s="39" t="s">
        <v>627</v>
      </c>
      <c r="N165" s="30">
        <v>50</v>
      </c>
      <c r="O165" s="30">
        <v>100</v>
      </c>
      <c r="P165" s="30">
        <v>150</v>
      </c>
      <c r="Q165" s="30">
        <v>360</v>
      </c>
      <c r="R165" s="30"/>
      <c r="S165" s="39" t="s">
        <v>289</v>
      </c>
      <c r="T165" s="44">
        <v>400000000</v>
      </c>
      <c r="U165" s="41"/>
      <c r="V165" s="41"/>
      <c r="W165" s="41"/>
      <c r="X165" s="41"/>
      <c r="Y165" s="41"/>
      <c r="Z165" s="41">
        <f t="shared" si="2"/>
        <v>400000000</v>
      </c>
      <c r="AA165" s="48"/>
      <c r="AB165" s="39" t="s">
        <v>462</v>
      </c>
      <c r="AC165" s="39"/>
      <c r="AD165" s="39"/>
      <c r="AE165" s="39"/>
      <c r="AF165" s="102"/>
      <c r="AG165" s="102"/>
      <c r="AH165" s="17">
        <v>25000000</v>
      </c>
    </row>
    <row r="166" spans="1:34" s="1" customFormat="1" ht="28.5">
      <c r="A166" s="40"/>
      <c r="B166" s="40"/>
      <c r="C166" s="42"/>
      <c r="D166" s="42"/>
      <c r="E166" s="42"/>
      <c r="F166" s="42"/>
      <c r="G166" s="42"/>
      <c r="H166" s="42"/>
      <c r="I166" s="42"/>
      <c r="J166" s="39" t="s">
        <v>918</v>
      </c>
      <c r="K166" s="39">
        <v>0</v>
      </c>
      <c r="L166" s="39">
        <v>160</v>
      </c>
      <c r="M166" s="39" t="s">
        <v>627</v>
      </c>
      <c r="N166" s="30">
        <v>40</v>
      </c>
      <c r="O166" s="30">
        <v>80</v>
      </c>
      <c r="P166" s="30">
        <v>120</v>
      </c>
      <c r="Q166" s="30">
        <v>160</v>
      </c>
      <c r="R166" s="30"/>
      <c r="S166" s="39" t="s">
        <v>289</v>
      </c>
      <c r="T166" s="46"/>
      <c r="U166" s="41"/>
      <c r="V166" s="41"/>
      <c r="W166" s="41"/>
      <c r="X166" s="41"/>
      <c r="Y166" s="41"/>
      <c r="Z166" s="41">
        <f t="shared" si="2"/>
        <v>0</v>
      </c>
      <c r="AA166" s="48"/>
      <c r="AB166" s="39" t="s">
        <v>461</v>
      </c>
      <c r="AC166" s="39"/>
      <c r="AD166" s="39"/>
      <c r="AE166" s="39"/>
      <c r="AF166" s="102"/>
      <c r="AG166" s="102"/>
      <c r="AH166" s="17">
        <v>25000000</v>
      </c>
    </row>
    <row r="167" spans="1:34" s="1" customFormat="1" ht="28.5">
      <c r="A167" s="40"/>
      <c r="B167" s="40"/>
      <c r="C167" s="42"/>
      <c r="D167" s="42"/>
      <c r="E167" s="42"/>
      <c r="F167" s="42"/>
      <c r="G167" s="42"/>
      <c r="H167" s="42" t="s">
        <v>712</v>
      </c>
      <c r="I167" s="42" t="s">
        <v>717</v>
      </c>
      <c r="J167" s="39" t="s">
        <v>919</v>
      </c>
      <c r="K167" s="39">
        <v>0</v>
      </c>
      <c r="L167" s="39">
        <v>1</v>
      </c>
      <c r="M167" s="39" t="s">
        <v>627</v>
      </c>
      <c r="N167" s="19">
        <v>1</v>
      </c>
      <c r="O167" s="19">
        <v>1</v>
      </c>
      <c r="P167" s="19">
        <v>1</v>
      </c>
      <c r="Q167" s="19">
        <v>1</v>
      </c>
      <c r="R167" s="19"/>
      <c r="S167" s="39" t="s">
        <v>289</v>
      </c>
      <c r="T167" s="41">
        <f>4307200000-440948005</f>
        <v>3866251995</v>
      </c>
      <c r="U167" s="41">
        <v>440948005</v>
      </c>
      <c r="V167" s="41"/>
      <c r="W167" s="41"/>
      <c r="X167" s="41"/>
      <c r="Y167" s="41"/>
      <c r="Z167" s="41">
        <f t="shared" si="2"/>
        <v>4307200000</v>
      </c>
      <c r="AA167" s="48"/>
      <c r="AB167" s="39" t="s">
        <v>309</v>
      </c>
      <c r="AC167" s="39"/>
      <c r="AD167" s="39"/>
      <c r="AE167" s="39"/>
      <c r="AF167" s="102"/>
      <c r="AG167" s="102"/>
      <c r="AH167" s="17">
        <v>50000000</v>
      </c>
    </row>
    <row r="168" spans="1:34" s="1" customFormat="1">
      <c r="A168" s="40"/>
      <c r="B168" s="40"/>
      <c r="C168" s="42"/>
      <c r="D168" s="42"/>
      <c r="E168" s="42"/>
      <c r="F168" s="42"/>
      <c r="G168" s="42"/>
      <c r="H168" s="42"/>
      <c r="I168" s="42"/>
      <c r="J168" s="39" t="s">
        <v>920</v>
      </c>
      <c r="K168" s="39">
        <v>0</v>
      </c>
      <c r="L168" s="39">
        <v>1</v>
      </c>
      <c r="M168" s="39" t="s">
        <v>627</v>
      </c>
      <c r="N168" s="22">
        <v>0.2</v>
      </c>
      <c r="O168" s="22">
        <v>0.5</v>
      </c>
      <c r="P168" s="22">
        <v>0.8</v>
      </c>
      <c r="Q168" s="19">
        <v>1</v>
      </c>
      <c r="R168" s="19"/>
      <c r="S168" s="39" t="s">
        <v>289</v>
      </c>
      <c r="T168" s="41"/>
      <c r="U168" s="41"/>
      <c r="V168" s="41"/>
      <c r="W168" s="41"/>
      <c r="X168" s="41"/>
      <c r="Y168" s="41"/>
      <c r="Z168" s="41">
        <f t="shared" si="2"/>
        <v>0</v>
      </c>
      <c r="AA168" s="48"/>
      <c r="AB168" s="39" t="s">
        <v>549</v>
      </c>
      <c r="AC168" s="39"/>
      <c r="AD168" s="39"/>
      <c r="AE168" s="39"/>
      <c r="AF168" s="102"/>
      <c r="AG168" s="102"/>
      <c r="AH168" s="17">
        <v>101200000</v>
      </c>
    </row>
    <row r="169" spans="1:34" s="1" customFormat="1">
      <c r="A169" s="40"/>
      <c r="B169" s="40"/>
      <c r="C169" s="42"/>
      <c r="D169" s="42"/>
      <c r="E169" s="42"/>
      <c r="F169" s="42"/>
      <c r="G169" s="42"/>
      <c r="H169" s="42"/>
      <c r="I169" s="42"/>
      <c r="J169" s="39" t="s">
        <v>907</v>
      </c>
      <c r="K169" s="39">
        <v>0</v>
      </c>
      <c r="L169" s="39">
        <v>45</v>
      </c>
      <c r="M169" s="39" t="s">
        <v>627</v>
      </c>
      <c r="N169" s="19">
        <v>0</v>
      </c>
      <c r="O169" s="19">
        <v>15</v>
      </c>
      <c r="P169" s="19">
        <v>30</v>
      </c>
      <c r="Q169" s="19">
        <v>45</v>
      </c>
      <c r="R169" s="19"/>
      <c r="S169" s="39" t="s">
        <v>289</v>
      </c>
      <c r="T169" s="41"/>
      <c r="U169" s="41"/>
      <c r="V169" s="41"/>
      <c r="W169" s="41"/>
      <c r="X169" s="41"/>
      <c r="Y169" s="41"/>
      <c r="Z169" s="41">
        <f t="shared" si="2"/>
        <v>0</v>
      </c>
      <c r="AA169" s="48"/>
      <c r="AB169" s="39" t="s">
        <v>310</v>
      </c>
      <c r="AC169" s="39"/>
      <c r="AD169" s="39"/>
      <c r="AE169" s="39"/>
      <c r="AF169" s="102"/>
      <c r="AG169" s="102"/>
      <c r="AH169" s="17">
        <v>50000000</v>
      </c>
    </row>
    <row r="170" spans="1:34" s="1" customFormat="1">
      <c r="A170" s="40"/>
      <c r="B170" s="40"/>
      <c r="C170" s="42"/>
      <c r="D170" s="42"/>
      <c r="E170" s="42"/>
      <c r="F170" s="42"/>
      <c r="G170" s="42"/>
      <c r="H170" s="42"/>
      <c r="I170" s="42"/>
      <c r="J170" s="39" t="s">
        <v>921</v>
      </c>
      <c r="K170" s="39">
        <v>0</v>
      </c>
      <c r="L170" s="39">
        <v>1</v>
      </c>
      <c r="M170" s="39" t="s">
        <v>627</v>
      </c>
      <c r="N170" s="19">
        <v>0</v>
      </c>
      <c r="O170" s="19">
        <v>1</v>
      </c>
      <c r="P170" s="19">
        <v>0</v>
      </c>
      <c r="Q170" s="19">
        <v>0</v>
      </c>
      <c r="R170" s="19"/>
      <c r="S170" s="39" t="s">
        <v>289</v>
      </c>
      <c r="T170" s="41"/>
      <c r="U170" s="41"/>
      <c r="V170" s="41"/>
      <c r="W170" s="41"/>
      <c r="X170" s="41"/>
      <c r="Y170" s="41"/>
      <c r="Z170" s="41">
        <f t="shared" si="2"/>
        <v>0</v>
      </c>
      <c r="AA170" s="48"/>
      <c r="AB170" s="39" t="s">
        <v>311</v>
      </c>
      <c r="AC170" s="39"/>
      <c r="AD170" s="39"/>
      <c r="AE170" s="39"/>
      <c r="AF170" s="102"/>
      <c r="AG170" s="102"/>
      <c r="AH170" s="17">
        <v>20000000</v>
      </c>
    </row>
    <row r="171" spans="1:34" s="1" customFormat="1" ht="28.5">
      <c r="A171" s="40"/>
      <c r="B171" s="40"/>
      <c r="C171" s="42"/>
      <c r="D171" s="42"/>
      <c r="E171" s="42"/>
      <c r="F171" s="42"/>
      <c r="G171" s="42"/>
      <c r="H171" s="42"/>
      <c r="I171" s="42"/>
      <c r="J171" s="39" t="s">
        <v>922</v>
      </c>
      <c r="K171" s="39">
        <v>36</v>
      </c>
      <c r="L171" s="39">
        <f>+K171+8</f>
        <v>44</v>
      </c>
      <c r="M171" s="39" t="s">
        <v>627</v>
      </c>
      <c r="N171" s="19">
        <v>38</v>
      </c>
      <c r="O171" s="19">
        <v>40</v>
      </c>
      <c r="P171" s="19">
        <v>42</v>
      </c>
      <c r="Q171" s="19">
        <v>44</v>
      </c>
      <c r="R171" s="19"/>
      <c r="S171" s="39" t="s">
        <v>289</v>
      </c>
      <c r="T171" s="41"/>
      <c r="U171" s="41"/>
      <c r="V171" s="41"/>
      <c r="W171" s="41"/>
      <c r="X171" s="41"/>
      <c r="Y171" s="41"/>
      <c r="Z171" s="41">
        <f t="shared" si="2"/>
        <v>0</v>
      </c>
      <c r="AA171" s="48"/>
      <c r="AB171" s="39" t="s">
        <v>463</v>
      </c>
      <c r="AC171" s="39"/>
      <c r="AD171" s="39"/>
      <c r="AE171" s="39"/>
      <c r="AF171" s="102"/>
      <c r="AG171" s="102"/>
      <c r="AH171" s="17">
        <v>100000000</v>
      </c>
    </row>
    <row r="172" spans="1:34" s="1" customFormat="1">
      <c r="A172" s="40"/>
      <c r="B172" s="40"/>
      <c r="C172" s="42"/>
      <c r="D172" s="42"/>
      <c r="E172" s="42"/>
      <c r="F172" s="42"/>
      <c r="G172" s="42"/>
      <c r="H172" s="42"/>
      <c r="I172" s="42"/>
      <c r="J172" s="39" t="s">
        <v>923</v>
      </c>
      <c r="K172" s="39">
        <v>0</v>
      </c>
      <c r="L172" s="39">
        <v>8</v>
      </c>
      <c r="M172" s="39" t="s">
        <v>627</v>
      </c>
      <c r="N172" s="19">
        <v>2</v>
      </c>
      <c r="O172" s="19">
        <v>4</v>
      </c>
      <c r="P172" s="19">
        <v>6</v>
      </c>
      <c r="Q172" s="19">
        <v>8</v>
      </c>
      <c r="R172" s="19"/>
      <c r="S172" s="39" t="s">
        <v>289</v>
      </c>
      <c r="T172" s="41"/>
      <c r="U172" s="41"/>
      <c r="V172" s="41"/>
      <c r="W172" s="41"/>
      <c r="X172" s="41"/>
      <c r="Y172" s="41"/>
      <c r="Z172" s="41">
        <f t="shared" si="2"/>
        <v>0</v>
      </c>
      <c r="AA172" s="49"/>
      <c r="AB172" s="39" t="s">
        <v>312</v>
      </c>
      <c r="AC172" s="39"/>
      <c r="AD172" s="39"/>
      <c r="AE172" s="39"/>
      <c r="AF172" s="102"/>
      <c r="AG172" s="102"/>
      <c r="AH172" s="17">
        <v>10000000</v>
      </c>
    </row>
    <row r="173" spans="1:34" s="1" customFormat="1" ht="28.5">
      <c r="A173" s="40"/>
      <c r="B173" s="40"/>
      <c r="C173" s="42" t="s">
        <v>577</v>
      </c>
      <c r="D173" s="42" t="s">
        <v>594</v>
      </c>
      <c r="E173" s="42" t="s">
        <v>190</v>
      </c>
      <c r="F173" s="42" t="s">
        <v>271</v>
      </c>
      <c r="G173" s="42" t="s">
        <v>272</v>
      </c>
      <c r="H173" s="42" t="s">
        <v>279</v>
      </c>
      <c r="I173" s="42" t="s">
        <v>213</v>
      </c>
      <c r="J173" s="39" t="s">
        <v>924</v>
      </c>
      <c r="K173" s="39">
        <v>0</v>
      </c>
      <c r="L173" s="39">
        <v>1</v>
      </c>
      <c r="M173" s="39" t="s">
        <v>627</v>
      </c>
      <c r="N173" s="22">
        <v>0.2</v>
      </c>
      <c r="O173" s="22">
        <v>0.5</v>
      </c>
      <c r="P173" s="22">
        <v>0.8</v>
      </c>
      <c r="Q173" s="19">
        <v>1</v>
      </c>
      <c r="R173" s="19"/>
      <c r="S173" s="39" t="s">
        <v>289</v>
      </c>
      <c r="T173" s="41">
        <f>1550000000-119966754</f>
        <v>1430033246</v>
      </c>
      <c r="U173" s="41"/>
      <c r="V173" s="41"/>
      <c r="W173" s="41"/>
      <c r="X173" s="41"/>
      <c r="Y173" s="41"/>
      <c r="Z173" s="41">
        <f t="shared" si="2"/>
        <v>1430033246</v>
      </c>
      <c r="AA173" s="42" t="s">
        <v>190</v>
      </c>
      <c r="AB173" s="39" t="s">
        <v>465</v>
      </c>
      <c r="AC173" s="39"/>
      <c r="AD173" s="39"/>
      <c r="AE173" s="39"/>
      <c r="AF173" s="102"/>
      <c r="AG173" s="102"/>
      <c r="AH173" s="17">
        <v>75000000</v>
      </c>
    </row>
    <row r="174" spans="1:34" s="1" customFormat="1" ht="28.5">
      <c r="A174" s="40"/>
      <c r="B174" s="40"/>
      <c r="C174" s="42"/>
      <c r="D174" s="42"/>
      <c r="E174" s="42"/>
      <c r="F174" s="42"/>
      <c r="G174" s="42"/>
      <c r="H174" s="42"/>
      <c r="I174" s="42"/>
      <c r="J174" s="39" t="s">
        <v>925</v>
      </c>
      <c r="K174" s="39">
        <v>0</v>
      </c>
      <c r="L174" s="39">
        <v>1</v>
      </c>
      <c r="M174" s="39" t="s">
        <v>627</v>
      </c>
      <c r="N174" s="22">
        <v>0.2</v>
      </c>
      <c r="O174" s="22">
        <v>0.5</v>
      </c>
      <c r="P174" s="22">
        <v>0.8</v>
      </c>
      <c r="Q174" s="19">
        <v>1</v>
      </c>
      <c r="R174" s="19"/>
      <c r="S174" s="39" t="s">
        <v>289</v>
      </c>
      <c r="T174" s="41"/>
      <c r="U174" s="41"/>
      <c r="V174" s="41"/>
      <c r="W174" s="41"/>
      <c r="X174" s="41"/>
      <c r="Y174" s="41"/>
      <c r="Z174" s="41">
        <f t="shared" si="2"/>
        <v>0</v>
      </c>
      <c r="AA174" s="42"/>
      <c r="AB174" s="39" t="s">
        <v>466</v>
      </c>
      <c r="AC174" s="39"/>
      <c r="AD174" s="39"/>
      <c r="AE174" s="39"/>
      <c r="AF174" s="102"/>
      <c r="AG174" s="102"/>
      <c r="AH174" s="17">
        <v>50000000</v>
      </c>
    </row>
    <row r="175" spans="1:34" s="1" customFormat="1" ht="28.5">
      <c r="A175" s="40"/>
      <c r="B175" s="40"/>
      <c r="C175" s="42"/>
      <c r="D175" s="42"/>
      <c r="E175" s="42"/>
      <c r="F175" s="42"/>
      <c r="G175" s="42"/>
      <c r="H175" s="42"/>
      <c r="I175" s="42"/>
      <c r="J175" s="39" t="s">
        <v>926</v>
      </c>
      <c r="K175" s="39">
        <v>0</v>
      </c>
      <c r="L175" s="39">
        <v>1</v>
      </c>
      <c r="M175" s="39" t="s">
        <v>627</v>
      </c>
      <c r="N175" s="22">
        <v>0.2</v>
      </c>
      <c r="O175" s="22">
        <v>0.5</v>
      </c>
      <c r="P175" s="22">
        <v>0.8</v>
      </c>
      <c r="Q175" s="19">
        <v>1</v>
      </c>
      <c r="R175" s="19"/>
      <c r="S175" s="39" t="s">
        <v>289</v>
      </c>
      <c r="T175" s="41"/>
      <c r="U175" s="41"/>
      <c r="V175" s="41"/>
      <c r="W175" s="41"/>
      <c r="X175" s="41"/>
      <c r="Y175" s="41"/>
      <c r="Z175" s="41">
        <f t="shared" si="2"/>
        <v>0</v>
      </c>
      <c r="AA175" s="42"/>
      <c r="AB175" s="39" t="s">
        <v>467</v>
      </c>
      <c r="AC175" s="39"/>
      <c r="AD175" s="39"/>
      <c r="AE175" s="39"/>
      <c r="AF175" s="102"/>
      <c r="AG175" s="102"/>
      <c r="AH175" s="17">
        <v>25000000</v>
      </c>
    </row>
    <row r="176" spans="1:34" s="1" customFormat="1" ht="28.5">
      <c r="A176" s="40"/>
      <c r="B176" s="40" t="s">
        <v>96</v>
      </c>
      <c r="C176" s="42" t="s">
        <v>25</v>
      </c>
      <c r="D176" s="42" t="s">
        <v>595</v>
      </c>
      <c r="E176" s="42" t="s">
        <v>39</v>
      </c>
      <c r="F176" s="42" t="s">
        <v>108</v>
      </c>
      <c r="G176" s="42" t="s">
        <v>109</v>
      </c>
      <c r="H176" s="42" t="s">
        <v>718</v>
      </c>
      <c r="I176" s="42" t="s">
        <v>721</v>
      </c>
      <c r="J176" s="33" t="s">
        <v>927</v>
      </c>
      <c r="K176" s="39">
        <v>0</v>
      </c>
      <c r="L176" s="39">
        <v>1</v>
      </c>
      <c r="M176" s="39" t="s">
        <v>627</v>
      </c>
      <c r="N176" s="22">
        <v>0.2</v>
      </c>
      <c r="O176" s="22">
        <v>0.5</v>
      </c>
      <c r="P176" s="22">
        <v>0.8</v>
      </c>
      <c r="Q176" s="19">
        <v>1</v>
      </c>
      <c r="R176" s="19"/>
      <c r="S176" s="39" t="s">
        <v>289</v>
      </c>
      <c r="T176" s="41">
        <v>250000000</v>
      </c>
      <c r="U176" s="41"/>
      <c r="V176" s="41"/>
      <c r="W176" s="41"/>
      <c r="X176" s="41"/>
      <c r="Y176" s="41"/>
      <c r="Z176" s="41">
        <f t="shared" si="2"/>
        <v>250000000</v>
      </c>
      <c r="AA176" s="59" t="s">
        <v>468</v>
      </c>
      <c r="AB176" s="39" t="s">
        <v>469</v>
      </c>
      <c r="AC176" s="33"/>
      <c r="AD176" s="33"/>
      <c r="AE176" s="33"/>
      <c r="AF176" s="102"/>
      <c r="AG176" s="102"/>
      <c r="AH176" s="17">
        <v>25000000</v>
      </c>
    </row>
    <row r="177" spans="1:34" s="1" customFormat="1">
      <c r="A177" s="40"/>
      <c r="B177" s="40"/>
      <c r="C177" s="42"/>
      <c r="D177" s="42"/>
      <c r="E177" s="42"/>
      <c r="F177" s="42"/>
      <c r="G177" s="42"/>
      <c r="H177" s="42"/>
      <c r="I177" s="42"/>
      <c r="J177" s="33" t="s">
        <v>928</v>
      </c>
      <c r="K177" s="39">
        <v>0</v>
      </c>
      <c r="L177" s="39">
        <v>1</v>
      </c>
      <c r="M177" s="39" t="s">
        <v>627</v>
      </c>
      <c r="N177" s="22">
        <v>0.2</v>
      </c>
      <c r="O177" s="22">
        <v>0.5</v>
      </c>
      <c r="P177" s="22">
        <v>0.8</v>
      </c>
      <c r="Q177" s="19">
        <v>1</v>
      </c>
      <c r="R177" s="19"/>
      <c r="S177" s="39" t="s">
        <v>289</v>
      </c>
      <c r="T177" s="41"/>
      <c r="U177" s="41"/>
      <c r="V177" s="41"/>
      <c r="W177" s="41"/>
      <c r="X177" s="41"/>
      <c r="Y177" s="41"/>
      <c r="Z177" s="41">
        <f t="shared" si="2"/>
        <v>0</v>
      </c>
      <c r="AA177" s="60"/>
      <c r="AB177" s="39" t="s">
        <v>313</v>
      </c>
      <c r="AC177" s="33"/>
      <c r="AD177" s="33"/>
      <c r="AE177" s="33"/>
      <c r="AF177" s="102"/>
      <c r="AG177" s="102"/>
      <c r="AH177" s="17">
        <v>5000000</v>
      </c>
    </row>
    <row r="178" spans="1:34" s="1" customFormat="1">
      <c r="A178" s="40"/>
      <c r="B178" s="40"/>
      <c r="C178" s="42"/>
      <c r="D178" s="42"/>
      <c r="E178" s="42"/>
      <c r="F178" s="42"/>
      <c r="G178" s="42"/>
      <c r="H178" s="42"/>
      <c r="I178" s="42"/>
      <c r="J178" s="33" t="s">
        <v>929</v>
      </c>
      <c r="K178" s="39">
        <v>0</v>
      </c>
      <c r="L178" s="39">
        <v>560</v>
      </c>
      <c r="M178" s="39" t="s">
        <v>627</v>
      </c>
      <c r="N178" s="19">
        <v>60</v>
      </c>
      <c r="O178" s="19">
        <v>260</v>
      </c>
      <c r="P178" s="19">
        <v>460</v>
      </c>
      <c r="Q178" s="19">
        <v>560</v>
      </c>
      <c r="R178" s="19"/>
      <c r="S178" s="39" t="s">
        <v>289</v>
      </c>
      <c r="T178" s="41"/>
      <c r="U178" s="41"/>
      <c r="V178" s="41"/>
      <c r="W178" s="41"/>
      <c r="X178" s="41"/>
      <c r="Y178" s="41"/>
      <c r="Z178" s="41">
        <f t="shared" si="2"/>
        <v>0</v>
      </c>
      <c r="AA178" s="60"/>
      <c r="AB178" s="39" t="s">
        <v>314</v>
      </c>
      <c r="AC178" s="33"/>
      <c r="AD178" s="33"/>
      <c r="AE178" s="33"/>
      <c r="AF178" s="102"/>
      <c r="AG178" s="102"/>
      <c r="AH178" s="17">
        <v>50000000</v>
      </c>
    </row>
    <row r="179" spans="1:34" s="1" customFormat="1" ht="28.5">
      <c r="A179" s="40"/>
      <c r="B179" s="40"/>
      <c r="C179" s="42"/>
      <c r="D179" s="42"/>
      <c r="E179" s="42"/>
      <c r="F179" s="42"/>
      <c r="G179" s="42"/>
      <c r="H179" s="42"/>
      <c r="I179" s="42"/>
      <c r="J179" s="39" t="s">
        <v>930</v>
      </c>
      <c r="K179" s="39">
        <v>0</v>
      </c>
      <c r="L179" s="39">
        <v>560</v>
      </c>
      <c r="M179" s="39" t="s">
        <v>627</v>
      </c>
      <c r="N179" s="19">
        <v>30</v>
      </c>
      <c r="O179" s="19">
        <v>230</v>
      </c>
      <c r="P179" s="19">
        <v>430</v>
      </c>
      <c r="Q179" s="19">
        <f>+P179+130</f>
        <v>560</v>
      </c>
      <c r="R179" s="19"/>
      <c r="S179" s="39" t="s">
        <v>289</v>
      </c>
      <c r="T179" s="41"/>
      <c r="U179" s="41"/>
      <c r="V179" s="41"/>
      <c r="W179" s="41"/>
      <c r="X179" s="41"/>
      <c r="Y179" s="41"/>
      <c r="Z179" s="41">
        <f t="shared" si="2"/>
        <v>0</v>
      </c>
      <c r="AA179" s="60"/>
      <c r="AB179" s="39" t="s">
        <v>470</v>
      </c>
      <c r="AC179" s="39"/>
      <c r="AD179" s="39"/>
      <c r="AE179" s="39"/>
      <c r="AF179" s="102"/>
      <c r="AG179" s="102"/>
      <c r="AH179" s="17">
        <v>20000000</v>
      </c>
    </row>
    <row r="180" spans="1:34" s="1" customFormat="1">
      <c r="A180" s="40"/>
      <c r="B180" s="40"/>
      <c r="C180" s="42"/>
      <c r="D180" s="42"/>
      <c r="E180" s="42"/>
      <c r="F180" s="42"/>
      <c r="G180" s="42"/>
      <c r="H180" s="42"/>
      <c r="I180" s="42" t="s">
        <v>722</v>
      </c>
      <c r="J180" s="39" t="s">
        <v>931</v>
      </c>
      <c r="K180" s="39">
        <v>0</v>
      </c>
      <c r="L180" s="39">
        <v>1</v>
      </c>
      <c r="M180" s="39" t="s">
        <v>627</v>
      </c>
      <c r="N180" s="19">
        <v>0</v>
      </c>
      <c r="O180" s="22">
        <v>0.5</v>
      </c>
      <c r="P180" s="19">
        <v>1</v>
      </c>
      <c r="Q180" s="19">
        <v>0</v>
      </c>
      <c r="R180" s="19"/>
      <c r="S180" s="39" t="s">
        <v>289</v>
      </c>
      <c r="T180" s="41">
        <v>280000000</v>
      </c>
      <c r="U180" s="41"/>
      <c r="V180" s="41"/>
      <c r="W180" s="41"/>
      <c r="X180" s="41"/>
      <c r="Y180" s="41"/>
      <c r="Z180" s="41">
        <f t="shared" si="2"/>
        <v>280000000</v>
      </c>
      <c r="AA180" s="60"/>
      <c r="AB180" s="39" t="s">
        <v>473</v>
      </c>
      <c r="AC180" s="39"/>
      <c r="AD180" s="39"/>
      <c r="AE180" s="39"/>
      <c r="AF180" s="102"/>
      <c r="AG180" s="102"/>
      <c r="AH180" s="17">
        <v>40000000</v>
      </c>
    </row>
    <row r="181" spans="1:34" s="1" customFormat="1" ht="63.75">
      <c r="A181" s="40"/>
      <c r="B181" s="40"/>
      <c r="C181" s="42"/>
      <c r="D181" s="42"/>
      <c r="E181" s="42"/>
      <c r="F181" s="42"/>
      <c r="G181" s="42"/>
      <c r="H181" s="42"/>
      <c r="I181" s="42"/>
      <c r="J181" s="39" t="s">
        <v>932</v>
      </c>
      <c r="K181" s="39">
        <v>0</v>
      </c>
      <c r="L181" s="39">
        <v>1</v>
      </c>
      <c r="M181" s="39" t="s">
        <v>627</v>
      </c>
      <c r="N181" s="39">
        <v>0</v>
      </c>
      <c r="O181" s="22">
        <v>0.5</v>
      </c>
      <c r="P181" s="19">
        <v>1</v>
      </c>
      <c r="Q181" s="39">
        <v>0</v>
      </c>
      <c r="R181" s="39"/>
      <c r="S181" s="39" t="s">
        <v>283</v>
      </c>
      <c r="T181" s="41"/>
      <c r="U181" s="41"/>
      <c r="V181" s="41"/>
      <c r="W181" s="41"/>
      <c r="X181" s="41"/>
      <c r="Y181" s="41"/>
      <c r="Z181" s="41">
        <f t="shared" si="2"/>
        <v>0</v>
      </c>
      <c r="AA181" s="61"/>
      <c r="AB181" s="39" t="s">
        <v>555</v>
      </c>
      <c r="AC181" s="85" t="s">
        <v>1125</v>
      </c>
      <c r="AD181" s="85" t="s">
        <v>1114</v>
      </c>
      <c r="AE181" s="85" t="s">
        <v>1126</v>
      </c>
      <c r="AF181" s="102">
        <v>40788000</v>
      </c>
      <c r="AG181" s="102">
        <v>40788000</v>
      </c>
      <c r="AH181" s="17">
        <v>62309860</v>
      </c>
    </row>
    <row r="182" spans="1:34" s="1" customFormat="1" ht="42.75">
      <c r="A182" s="40"/>
      <c r="B182" s="40"/>
      <c r="C182" s="42"/>
      <c r="D182" s="42"/>
      <c r="E182" s="42"/>
      <c r="F182" s="42"/>
      <c r="G182" s="42"/>
      <c r="H182" s="42"/>
      <c r="I182" s="39" t="s">
        <v>723</v>
      </c>
      <c r="J182" s="39" t="s">
        <v>933</v>
      </c>
      <c r="K182" s="39">
        <v>0</v>
      </c>
      <c r="L182" s="32">
        <v>0.1</v>
      </c>
      <c r="M182" s="39" t="s">
        <v>627</v>
      </c>
      <c r="N182" s="16">
        <v>2.5000000000000001E-2</v>
      </c>
      <c r="O182" s="16">
        <v>0.05</v>
      </c>
      <c r="P182" s="16">
        <v>7.0000000000000007E-2</v>
      </c>
      <c r="Q182" s="16">
        <v>0.1</v>
      </c>
      <c r="R182" s="16"/>
      <c r="S182" s="39" t="s">
        <v>289</v>
      </c>
      <c r="T182" s="2">
        <v>300000000</v>
      </c>
      <c r="U182" s="29"/>
      <c r="V182" s="29"/>
      <c r="W182" s="29"/>
      <c r="X182" s="29"/>
      <c r="Y182" s="29"/>
      <c r="Z182" s="29">
        <f t="shared" si="2"/>
        <v>300000000</v>
      </c>
      <c r="AA182" s="60"/>
      <c r="AB182" s="39" t="s">
        <v>472</v>
      </c>
      <c r="AC182" s="39"/>
      <c r="AD182" s="39"/>
      <c r="AE182" s="39"/>
      <c r="AF182" s="102"/>
      <c r="AG182" s="102"/>
      <c r="AH182" s="17">
        <v>50000000</v>
      </c>
    </row>
    <row r="183" spans="1:34" s="1" customFormat="1" ht="28.5">
      <c r="A183" s="40"/>
      <c r="B183" s="40"/>
      <c r="C183" s="42"/>
      <c r="D183" s="42"/>
      <c r="E183" s="42"/>
      <c r="F183" s="42"/>
      <c r="G183" s="42"/>
      <c r="H183" s="42"/>
      <c r="I183" s="39" t="s">
        <v>724</v>
      </c>
      <c r="J183" s="39" t="s">
        <v>934</v>
      </c>
      <c r="K183" s="39">
        <v>0</v>
      </c>
      <c r="L183" s="39">
        <v>40</v>
      </c>
      <c r="M183" s="39" t="s">
        <v>627</v>
      </c>
      <c r="N183" s="19">
        <v>10</v>
      </c>
      <c r="O183" s="19">
        <v>20</v>
      </c>
      <c r="P183" s="19">
        <v>30</v>
      </c>
      <c r="Q183" s="19">
        <v>40</v>
      </c>
      <c r="R183" s="19"/>
      <c r="S183" s="39" t="s">
        <v>289</v>
      </c>
      <c r="T183" s="2">
        <v>600000000</v>
      </c>
      <c r="U183" s="29"/>
      <c r="V183" s="29"/>
      <c r="W183" s="29"/>
      <c r="X183" s="29"/>
      <c r="Y183" s="29"/>
      <c r="Z183" s="29">
        <f t="shared" si="2"/>
        <v>600000000</v>
      </c>
      <c r="AA183" s="60"/>
      <c r="AB183" s="39" t="s">
        <v>471</v>
      </c>
      <c r="AC183" s="39"/>
      <c r="AD183" s="39"/>
      <c r="AE183" s="39"/>
      <c r="AF183" s="102"/>
      <c r="AG183" s="102"/>
      <c r="AH183" s="17">
        <v>153000000</v>
      </c>
    </row>
    <row r="184" spans="1:34" s="1" customFormat="1" ht="28.5">
      <c r="A184" s="40"/>
      <c r="B184" s="40"/>
      <c r="C184" s="42"/>
      <c r="D184" s="42"/>
      <c r="E184" s="42"/>
      <c r="F184" s="42"/>
      <c r="G184" s="42"/>
      <c r="H184" s="42" t="s">
        <v>613</v>
      </c>
      <c r="I184" s="42" t="s">
        <v>214</v>
      </c>
      <c r="J184" s="39" t="s">
        <v>935</v>
      </c>
      <c r="K184" s="39">
        <v>0</v>
      </c>
      <c r="L184" s="39">
        <v>2</v>
      </c>
      <c r="M184" s="39" t="s">
        <v>627</v>
      </c>
      <c r="N184" s="19">
        <v>0</v>
      </c>
      <c r="O184" s="19">
        <v>1</v>
      </c>
      <c r="P184" s="19">
        <v>2</v>
      </c>
      <c r="Q184" s="19">
        <v>0</v>
      </c>
      <c r="R184" s="19"/>
      <c r="S184" s="39" t="s">
        <v>289</v>
      </c>
      <c r="T184" s="10">
        <v>527262470</v>
      </c>
      <c r="U184" s="2"/>
      <c r="V184" s="2"/>
      <c r="W184" s="2"/>
      <c r="X184" s="2"/>
      <c r="Y184" s="2"/>
      <c r="Z184" s="2">
        <f t="shared" si="2"/>
        <v>527262470</v>
      </c>
      <c r="AA184" s="60"/>
      <c r="AB184" s="39" t="s">
        <v>474</v>
      </c>
      <c r="AC184" s="39"/>
      <c r="AD184" s="39"/>
      <c r="AE184" s="39"/>
      <c r="AF184" s="102"/>
      <c r="AG184" s="102"/>
      <c r="AH184" s="17">
        <v>50000000</v>
      </c>
    </row>
    <row r="185" spans="1:34" s="1" customFormat="1" ht="28.5">
      <c r="A185" s="40"/>
      <c r="B185" s="40"/>
      <c r="C185" s="42"/>
      <c r="D185" s="42"/>
      <c r="E185" s="42"/>
      <c r="F185" s="42"/>
      <c r="G185" s="42"/>
      <c r="H185" s="42"/>
      <c r="I185" s="42"/>
      <c r="J185" s="39" t="s">
        <v>936</v>
      </c>
      <c r="K185" s="39">
        <v>0</v>
      </c>
      <c r="L185" s="39">
        <v>1</v>
      </c>
      <c r="M185" s="39" t="s">
        <v>627</v>
      </c>
      <c r="N185" s="88">
        <v>0.25</v>
      </c>
      <c r="O185" s="88">
        <v>0.5</v>
      </c>
      <c r="P185" s="88">
        <v>0.75</v>
      </c>
      <c r="Q185" s="19">
        <v>1</v>
      </c>
      <c r="R185" s="19"/>
      <c r="S185" s="39" t="s">
        <v>289</v>
      </c>
      <c r="T185" s="10">
        <v>200000000</v>
      </c>
      <c r="U185" s="2"/>
      <c r="V185" s="2"/>
      <c r="W185" s="2"/>
      <c r="X185" s="2"/>
      <c r="Y185" s="2"/>
      <c r="Z185" s="2">
        <f t="shared" si="2"/>
        <v>200000000</v>
      </c>
      <c r="AA185" s="60"/>
      <c r="AB185" s="39" t="s">
        <v>475</v>
      </c>
      <c r="AC185" s="39"/>
      <c r="AD185" s="39"/>
      <c r="AE185" s="39"/>
      <c r="AF185" s="102"/>
      <c r="AG185" s="102"/>
      <c r="AH185" s="17">
        <v>1000000</v>
      </c>
    </row>
    <row r="186" spans="1:34" s="1" customFormat="1" ht="28.5">
      <c r="A186" s="40"/>
      <c r="B186" s="40"/>
      <c r="C186" s="42"/>
      <c r="D186" s="42"/>
      <c r="E186" s="42"/>
      <c r="F186" s="42"/>
      <c r="G186" s="42"/>
      <c r="H186" s="39" t="s">
        <v>719</v>
      </c>
      <c r="I186" s="39" t="s">
        <v>725</v>
      </c>
      <c r="J186" s="39" t="s">
        <v>937</v>
      </c>
      <c r="K186" s="39">
        <v>0</v>
      </c>
      <c r="L186" s="39">
        <v>1</v>
      </c>
      <c r="M186" s="39" t="s">
        <v>627</v>
      </c>
      <c r="N186" s="88">
        <v>0.25</v>
      </c>
      <c r="O186" s="88">
        <v>0.5</v>
      </c>
      <c r="P186" s="88">
        <v>0.75</v>
      </c>
      <c r="Q186" s="19">
        <v>1</v>
      </c>
      <c r="R186" s="19"/>
      <c r="S186" s="39" t="s">
        <v>289</v>
      </c>
      <c r="T186" s="29">
        <v>452337530</v>
      </c>
      <c r="U186" s="29"/>
      <c r="V186" s="29"/>
      <c r="W186" s="29"/>
      <c r="X186" s="29">
        <v>3000000000</v>
      </c>
      <c r="Y186" s="29">
        <v>418362700</v>
      </c>
      <c r="Z186" s="29">
        <f t="shared" si="2"/>
        <v>3870700230</v>
      </c>
      <c r="AA186" s="62"/>
      <c r="AB186" s="39" t="s">
        <v>476</v>
      </c>
      <c r="AC186" s="39"/>
      <c r="AD186" s="39"/>
      <c r="AE186" s="39"/>
      <c r="AF186" s="102"/>
      <c r="AG186" s="102"/>
      <c r="AH186" s="17">
        <v>25000000</v>
      </c>
    </row>
    <row r="187" spans="1:34" ht="57">
      <c r="A187" s="40" t="s">
        <v>97</v>
      </c>
      <c r="B187" s="40" t="s">
        <v>10</v>
      </c>
      <c r="C187" s="42" t="s">
        <v>578</v>
      </c>
      <c r="D187" s="42" t="s">
        <v>596</v>
      </c>
      <c r="E187" s="42" t="s">
        <v>50</v>
      </c>
      <c r="F187" s="43" t="s">
        <v>70</v>
      </c>
      <c r="G187" s="42" t="s">
        <v>939</v>
      </c>
      <c r="H187" s="42" t="s">
        <v>726</v>
      </c>
      <c r="I187" s="39" t="s">
        <v>728</v>
      </c>
      <c r="J187" s="39" t="s">
        <v>938</v>
      </c>
      <c r="K187" s="39">
        <v>0</v>
      </c>
      <c r="L187" s="39">
        <v>4000</v>
      </c>
      <c r="M187" s="39" t="s">
        <v>627</v>
      </c>
      <c r="N187" s="39">
        <v>1</v>
      </c>
      <c r="O187" s="39">
        <v>300</v>
      </c>
      <c r="P187" s="39">
        <v>600</v>
      </c>
      <c r="Q187" s="39">
        <v>800</v>
      </c>
      <c r="R187" s="39">
        <v>3200</v>
      </c>
      <c r="S187" s="39" t="s">
        <v>290</v>
      </c>
      <c r="T187" s="29"/>
      <c r="U187" s="29"/>
      <c r="V187" s="29"/>
      <c r="W187" s="29"/>
      <c r="X187" s="29"/>
      <c r="Y187" s="29"/>
      <c r="Z187" s="29">
        <f t="shared" si="2"/>
        <v>0</v>
      </c>
      <c r="AA187" s="47" t="s">
        <v>452</v>
      </c>
      <c r="AB187" s="39" t="s">
        <v>635</v>
      </c>
      <c r="AC187" s="89" t="s">
        <v>1311</v>
      </c>
      <c r="AD187" s="39" t="s">
        <v>1312</v>
      </c>
      <c r="AE187" s="39" t="s">
        <v>1313</v>
      </c>
      <c r="AF187" s="102">
        <v>0</v>
      </c>
      <c r="AG187" s="102">
        <v>0</v>
      </c>
      <c r="AH187" s="17">
        <v>1000000</v>
      </c>
    </row>
    <row r="188" spans="1:34" ht="28.5">
      <c r="A188" s="40"/>
      <c r="B188" s="40"/>
      <c r="C188" s="42"/>
      <c r="D188" s="42"/>
      <c r="E188" s="42"/>
      <c r="F188" s="43"/>
      <c r="G188" s="42"/>
      <c r="H188" s="42"/>
      <c r="I188" s="39" t="s">
        <v>729</v>
      </c>
      <c r="J188" s="39" t="s">
        <v>940</v>
      </c>
      <c r="K188" s="39">
        <v>0</v>
      </c>
      <c r="L188" s="39">
        <v>1</v>
      </c>
      <c r="M188" s="39" t="s">
        <v>627</v>
      </c>
      <c r="N188" s="88">
        <v>0.25</v>
      </c>
      <c r="O188" s="88">
        <v>0.5</v>
      </c>
      <c r="P188" s="88">
        <v>0.75</v>
      </c>
      <c r="Q188" s="39">
        <v>1</v>
      </c>
      <c r="R188" s="39"/>
      <c r="S188" s="39" t="s">
        <v>44</v>
      </c>
      <c r="T188" s="29"/>
      <c r="U188" s="29">
        <v>1200000000</v>
      </c>
      <c r="V188" s="29"/>
      <c r="W188" s="29"/>
      <c r="X188" s="29"/>
      <c r="Y188" s="29">
        <v>1500000000</v>
      </c>
      <c r="Z188" s="29">
        <f t="shared" si="2"/>
        <v>2700000000</v>
      </c>
      <c r="AA188" s="48"/>
      <c r="AB188" s="39" t="s">
        <v>519</v>
      </c>
      <c r="AC188" s="39"/>
      <c r="AD188" s="39"/>
      <c r="AE188" s="39"/>
      <c r="AF188" s="102"/>
      <c r="AG188" s="102"/>
      <c r="AH188" s="17">
        <v>199147211</v>
      </c>
    </row>
    <row r="189" spans="1:34" ht="99.75">
      <c r="A189" s="40"/>
      <c r="B189" s="40"/>
      <c r="C189" s="42"/>
      <c r="D189" s="42"/>
      <c r="E189" s="42"/>
      <c r="F189" s="43"/>
      <c r="G189" s="42"/>
      <c r="H189" s="42"/>
      <c r="I189" s="39" t="s">
        <v>730</v>
      </c>
      <c r="J189" s="39" t="s">
        <v>941</v>
      </c>
      <c r="K189" s="39">
        <v>2</v>
      </c>
      <c r="L189" s="39">
        <v>7</v>
      </c>
      <c r="M189" s="39" t="s">
        <v>627</v>
      </c>
      <c r="N189" s="39">
        <v>0</v>
      </c>
      <c r="O189" s="39">
        <v>4</v>
      </c>
      <c r="P189" s="39">
        <v>6</v>
      </c>
      <c r="Q189" s="39">
        <v>7</v>
      </c>
      <c r="R189" s="39">
        <v>0</v>
      </c>
      <c r="S189" s="39" t="s">
        <v>290</v>
      </c>
      <c r="T189" s="29">
        <v>700000000</v>
      </c>
      <c r="U189" s="29"/>
      <c r="V189" s="29"/>
      <c r="W189" s="29"/>
      <c r="X189" s="29"/>
      <c r="Y189" s="29"/>
      <c r="Z189" s="29">
        <f t="shared" si="2"/>
        <v>700000000</v>
      </c>
      <c r="AA189" s="48"/>
      <c r="AB189" s="39" t="s">
        <v>453</v>
      </c>
      <c r="AC189" s="90" t="s">
        <v>1314</v>
      </c>
      <c r="AD189" s="39" t="s">
        <v>1315</v>
      </c>
      <c r="AE189" s="39" t="s">
        <v>1313</v>
      </c>
      <c r="AF189" s="102">
        <v>0</v>
      </c>
      <c r="AG189" s="102">
        <v>0</v>
      </c>
      <c r="AH189" s="17">
        <v>742500000</v>
      </c>
    </row>
    <row r="190" spans="1:34" ht="42.75">
      <c r="A190" s="40"/>
      <c r="B190" s="40"/>
      <c r="C190" s="42"/>
      <c r="D190" s="42"/>
      <c r="E190" s="42"/>
      <c r="F190" s="43"/>
      <c r="G190" s="42"/>
      <c r="H190" s="42"/>
      <c r="I190" s="39" t="s">
        <v>731</v>
      </c>
      <c r="J190" s="39" t="s">
        <v>942</v>
      </c>
      <c r="K190" s="39">
        <v>0</v>
      </c>
      <c r="L190" s="39">
        <v>500</v>
      </c>
      <c r="M190" s="39" t="s">
        <v>627</v>
      </c>
      <c r="N190" s="39">
        <v>100</v>
      </c>
      <c r="O190" s="39">
        <v>250</v>
      </c>
      <c r="P190" s="39">
        <v>400</v>
      </c>
      <c r="Q190" s="39">
        <v>500</v>
      </c>
      <c r="R190" s="39">
        <v>100</v>
      </c>
      <c r="S190" s="39" t="s">
        <v>290</v>
      </c>
      <c r="T190" s="29"/>
      <c r="U190" s="29"/>
      <c r="V190" s="29"/>
      <c r="W190" s="29"/>
      <c r="X190" s="29"/>
      <c r="Y190" s="29"/>
      <c r="Z190" s="29">
        <f t="shared" si="2"/>
        <v>0</v>
      </c>
      <c r="AA190" s="48"/>
      <c r="AB190" s="39" t="s">
        <v>454</v>
      </c>
      <c r="AC190" s="90" t="s">
        <v>1316</v>
      </c>
      <c r="AD190" s="39" t="s">
        <v>1317</v>
      </c>
      <c r="AE190" s="39"/>
      <c r="AF190" s="102">
        <v>0</v>
      </c>
      <c r="AG190" s="102">
        <v>0</v>
      </c>
      <c r="AH190" s="17">
        <v>1000000</v>
      </c>
    </row>
    <row r="191" spans="1:34" ht="42.75">
      <c r="A191" s="40"/>
      <c r="B191" s="40"/>
      <c r="C191" s="42"/>
      <c r="D191" s="42"/>
      <c r="E191" s="42"/>
      <c r="F191" s="43"/>
      <c r="G191" s="42"/>
      <c r="H191" s="39" t="s">
        <v>727</v>
      </c>
      <c r="I191" s="39" t="s">
        <v>107</v>
      </c>
      <c r="J191" s="39" t="s">
        <v>943</v>
      </c>
      <c r="K191" s="32">
        <v>0.24</v>
      </c>
      <c r="L191" s="32">
        <v>0.5</v>
      </c>
      <c r="M191" s="39" t="s">
        <v>627</v>
      </c>
      <c r="N191" s="32">
        <v>0.3</v>
      </c>
      <c r="O191" s="32">
        <v>0.4</v>
      </c>
      <c r="P191" s="32">
        <v>0.45</v>
      </c>
      <c r="Q191" s="32">
        <v>0.5</v>
      </c>
      <c r="R191" s="32">
        <v>0.3</v>
      </c>
      <c r="S191" s="39" t="s">
        <v>290</v>
      </c>
      <c r="T191" s="29">
        <v>300000000</v>
      </c>
      <c r="U191" s="29"/>
      <c r="V191" s="29"/>
      <c r="W191" s="29"/>
      <c r="X191" s="29"/>
      <c r="Y191" s="29"/>
      <c r="Z191" s="29">
        <f t="shared" si="2"/>
        <v>300000000</v>
      </c>
      <c r="AA191" s="49"/>
      <c r="AB191" s="39" t="s">
        <v>636</v>
      </c>
      <c r="AC191" s="90" t="s">
        <v>1318</v>
      </c>
      <c r="AD191" s="39" t="s">
        <v>1319</v>
      </c>
      <c r="AE191" s="39"/>
      <c r="AF191" s="102">
        <v>0</v>
      </c>
      <c r="AG191" s="102">
        <v>0</v>
      </c>
      <c r="AH191" s="17">
        <v>1000000</v>
      </c>
    </row>
    <row r="192" spans="1:34" ht="99.75">
      <c r="A192" s="40"/>
      <c r="B192" s="40"/>
      <c r="C192" s="42" t="s">
        <v>82</v>
      </c>
      <c r="D192" s="42" t="s">
        <v>597</v>
      </c>
      <c r="E192" s="42" t="s">
        <v>71</v>
      </c>
      <c r="F192" s="43" t="s">
        <v>273</v>
      </c>
      <c r="G192" s="42" t="s">
        <v>73</v>
      </c>
      <c r="H192" s="42" t="s">
        <v>72</v>
      </c>
      <c r="I192" s="42" t="s">
        <v>732</v>
      </c>
      <c r="J192" s="39" t="s">
        <v>944</v>
      </c>
      <c r="K192" s="34">
        <v>0</v>
      </c>
      <c r="L192" s="34">
        <v>0.4</v>
      </c>
      <c r="M192" s="39" t="s">
        <v>627</v>
      </c>
      <c r="N192" s="34">
        <v>0.06</v>
      </c>
      <c r="O192" s="34">
        <v>0.27</v>
      </c>
      <c r="P192" s="34">
        <v>0.33</v>
      </c>
      <c r="Q192" s="34">
        <v>0.4</v>
      </c>
      <c r="R192" s="28">
        <v>0.1178</v>
      </c>
      <c r="S192" s="39" t="s">
        <v>291</v>
      </c>
      <c r="T192" s="41">
        <f>3000000000-785173652</f>
        <v>2214826348</v>
      </c>
      <c r="U192" s="41"/>
      <c r="V192" s="41"/>
      <c r="W192" s="41"/>
      <c r="X192" s="41"/>
      <c r="Y192" s="41">
        <v>216443262</v>
      </c>
      <c r="Z192" s="41">
        <f t="shared" si="2"/>
        <v>2431269610</v>
      </c>
      <c r="AA192" s="42" t="s">
        <v>339</v>
      </c>
      <c r="AB192" s="39" t="s">
        <v>477</v>
      </c>
      <c r="AC192" s="39" t="s">
        <v>1068</v>
      </c>
      <c r="AD192" s="39" t="s">
        <v>1071</v>
      </c>
      <c r="AE192" s="39" t="s">
        <v>1074</v>
      </c>
      <c r="AF192" s="102">
        <v>718783631</v>
      </c>
      <c r="AG192" s="102">
        <v>718783631</v>
      </c>
      <c r="AH192" s="17">
        <v>200000000</v>
      </c>
    </row>
    <row r="193" spans="1:34" ht="128.25">
      <c r="A193" s="40"/>
      <c r="B193" s="40"/>
      <c r="C193" s="42"/>
      <c r="D193" s="42"/>
      <c r="E193" s="42"/>
      <c r="F193" s="43"/>
      <c r="G193" s="42"/>
      <c r="H193" s="42"/>
      <c r="I193" s="42"/>
      <c r="J193" s="39" t="s">
        <v>945</v>
      </c>
      <c r="K193" s="39">
        <v>0</v>
      </c>
      <c r="L193" s="39">
        <v>1</v>
      </c>
      <c r="M193" s="39" t="s">
        <v>627</v>
      </c>
      <c r="N193" s="39">
        <v>0.5</v>
      </c>
      <c r="O193" s="39">
        <v>1</v>
      </c>
      <c r="P193" s="39">
        <v>0</v>
      </c>
      <c r="Q193" s="39">
        <v>0</v>
      </c>
      <c r="R193" s="39">
        <v>0</v>
      </c>
      <c r="S193" s="39" t="s">
        <v>287</v>
      </c>
      <c r="T193" s="41"/>
      <c r="U193" s="41"/>
      <c r="V193" s="41"/>
      <c r="W193" s="41"/>
      <c r="X193" s="41"/>
      <c r="Y193" s="41"/>
      <c r="Z193" s="41">
        <f t="shared" si="2"/>
        <v>0</v>
      </c>
      <c r="AA193" s="42"/>
      <c r="AB193" s="39" t="s">
        <v>500</v>
      </c>
      <c r="AC193" s="39" t="s">
        <v>1325</v>
      </c>
      <c r="AD193" s="39" t="s">
        <v>1326</v>
      </c>
      <c r="AE193" s="39"/>
      <c r="AF193" s="102">
        <f>1000000+89505+41538+2370741+216443262+3853711</f>
        <v>223798757</v>
      </c>
      <c r="AG193" s="102">
        <f>89505+41538+82449+42058</f>
        <v>255550</v>
      </c>
      <c r="AH193" s="17">
        <v>120030000</v>
      </c>
    </row>
    <row r="194" spans="1:34" ht="99.75">
      <c r="A194" s="40"/>
      <c r="B194" s="40"/>
      <c r="C194" s="42"/>
      <c r="D194" s="42"/>
      <c r="E194" s="42"/>
      <c r="F194" s="43"/>
      <c r="G194" s="42"/>
      <c r="H194" s="42"/>
      <c r="I194" s="42"/>
      <c r="J194" s="39" t="s">
        <v>946</v>
      </c>
      <c r="K194" s="34">
        <v>0</v>
      </c>
      <c r="L194" s="34">
        <v>0.3</v>
      </c>
      <c r="M194" s="39" t="s">
        <v>627</v>
      </c>
      <c r="N194" s="34">
        <v>0.06</v>
      </c>
      <c r="O194" s="34">
        <v>0.2</v>
      </c>
      <c r="P194" s="34">
        <v>0.25</v>
      </c>
      <c r="Q194" s="34">
        <v>0.3</v>
      </c>
      <c r="R194" s="28">
        <v>0.1447</v>
      </c>
      <c r="S194" s="39" t="s">
        <v>291</v>
      </c>
      <c r="T194" s="41"/>
      <c r="U194" s="41"/>
      <c r="V194" s="41"/>
      <c r="W194" s="41"/>
      <c r="X194" s="41"/>
      <c r="Y194" s="41"/>
      <c r="Z194" s="41">
        <f t="shared" si="2"/>
        <v>0</v>
      </c>
      <c r="AA194" s="42"/>
      <c r="AB194" s="39" t="s">
        <v>478</v>
      </c>
      <c r="AC194" s="39" t="s">
        <v>1068</v>
      </c>
      <c r="AD194" s="39" t="s">
        <v>1071</v>
      </c>
      <c r="AE194" s="39"/>
      <c r="AF194" s="102">
        <f>237026384.72-3500000</f>
        <v>233526384.72</v>
      </c>
      <c r="AG194" s="102">
        <f>237026384.72-3500000</f>
        <v>233526384.72</v>
      </c>
      <c r="AH194" s="17">
        <v>1203000000</v>
      </c>
    </row>
    <row r="195" spans="1:34" ht="42.75">
      <c r="A195" s="40"/>
      <c r="B195" s="40"/>
      <c r="C195" s="42"/>
      <c r="D195" s="42"/>
      <c r="E195" s="42"/>
      <c r="F195" s="43"/>
      <c r="G195" s="42"/>
      <c r="H195" s="42"/>
      <c r="I195" s="42"/>
      <c r="J195" s="39" t="s">
        <v>1192</v>
      </c>
      <c r="K195" s="39">
        <v>0</v>
      </c>
      <c r="L195" s="39">
        <v>12</v>
      </c>
      <c r="M195" s="39" t="s">
        <v>627</v>
      </c>
      <c r="N195" s="39">
        <v>3</v>
      </c>
      <c r="O195" s="39">
        <v>6</v>
      </c>
      <c r="P195" s="39">
        <v>9</v>
      </c>
      <c r="Q195" s="39">
        <v>12</v>
      </c>
      <c r="R195" s="39">
        <v>3</v>
      </c>
      <c r="S195" s="39" t="s">
        <v>291</v>
      </c>
      <c r="T195" s="41"/>
      <c r="U195" s="41"/>
      <c r="V195" s="41"/>
      <c r="W195" s="41"/>
      <c r="X195" s="41"/>
      <c r="Y195" s="41"/>
      <c r="Z195" s="41">
        <f t="shared" si="2"/>
        <v>0</v>
      </c>
      <c r="AA195" s="42"/>
      <c r="AB195" s="39" t="s">
        <v>479</v>
      </c>
      <c r="AC195" s="39" t="s">
        <v>1069</v>
      </c>
      <c r="AD195" s="39" t="s">
        <v>1070</v>
      </c>
      <c r="AE195" s="39"/>
      <c r="AF195" s="102">
        <v>242100000</v>
      </c>
      <c r="AG195" s="102">
        <v>242100000</v>
      </c>
      <c r="AH195" s="17">
        <v>200000000</v>
      </c>
    </row>
    <row r="196" spans="1:34" ht="99.75">
      <c r="A196" s="40"/>
      <c r="B196" s="40"/>
      <c r="C196" s="42"/>
      <c r="D196" s="42"/>
      <c r="E196" s="42"/>
      <c r="F196" s="43"/>
      <c r="G196" s="42"/>
      <c r="H196" s="42"/>
      <c r="I196" s="39" t="s">
        <v>733</v>
      </c>
      <c r="J196" s="39" t="s">
        <v>947</v>
      </c>
      <c r="K196" s="34">
        <v>0</v>
      </c>
      <c r="L196" s="34">
        <v>0.3</v>
      </c>
      <c r="M196" s="39" t="s">
        <v>627</v>
      </c>
      <c r="N196" s="34">
        <v>0.06</v>
      </c>
      <c r="O196" s="34">
        <v>0.14000000000000001</v>
      </c>
      <c r="P196" s="34">
        <v>0.22</v>
      </c>
      <c r="Q196" s="34">
        <v>0.3</v>
      </c>
      <c r="R196" s="28">
        <v>0.21609999999999999</v>
      </c>
      <c r="S196" s="39" t="s">
        <v>291</v>
      </c>
      <c r="T196" s="29"/>
      <c r="U196" s="29"/>
      <c r="V196" s="29"/>
      <c r="W196" s="29"/>
      <c r="X196" s="29"/>
      <c r="Y196" s="29"/>
      <c r="Z196" s="29">
        <f t="shared" si="2"/>
        <v>0</v>
      </c>
      <c r="AA196" s="42"/>
      <c r="AB196" s="39" t="s">
        <v>480</v>
      </c>
      <c r="AC196" s="39" t="s">
        <v>1072</v>
      </c>
      <c r="AD196" s="39" t="s">
        <v>1073</v>
      </c>
      <c r="AE196" s="39"/>
      <c r="AF196" s="102">
        <f>3500000+44259207.18+51475601</f>
        <v>99234808.180000007</v>
      </c>
      <c r="AG196" s="102">
        <f>3500000+44259207.18</f>
        <v>47759207.18</v>
      </c>
      <c r="AH196" s="17">
        <v>100000000</v>
      </c>
    </row>
    <row r="197" spans="1:34">
      <c r="A197" s="40"/>
      <c r="B197" s="40"/>
      <c r="C197" s="42" t="s">
        <v>83</v>
      </c>
      <c r="D197" s="42" t="s">
        <v>598</v>
      </c>
      <c r="E197" s="42" t="s">
        <v>34</v>
      </c>
      <c r="F197" s="43" t="s">
        <v>1333</v>
      </c>
      <c r="G197" s="42" t="s">
        <v>74</v>
      </c>
      <c r="H197" s="42" t="s">
        <v>734</v>
      </c>
      <c r="I197" s="42" t="s">
        <v>737</v>
      </c>
      <c r="J197" s="39" t="s">
        <v>948</v>
      </c>
      <c r="K197" s="39">
        <v>0</v>
      </c>
      <c r="L197" s="39">
        <v>4</v>
      </c>
      <c r="M197" s="39" t="s">
        <v>627</v>
      </c>
      <c r="N197" s="39">
        <v>1</v>
      </c>
      <c r="O197" s="39">
        <v>2</v>
      </c>
      <c r="P197" s="39">
        <v>3</v>
      </c>
      <c r="Q197" s="39">
        <v>4</v>
      </c>
      <c r="R197" s="39"/>
      <c r="S197" s="39" t="s">
        <v>292</v>
      </c>
      <c r="T197" s="41">
        <f>776000000+780000000+345000000</f>
        <v>1901000000</v>
      </c>
      <c r="U197" s="41"/>
      <c r="V197" s="41"/>
      <c r="W197" s="41"/>
      <c r="X197" s="41"/>
      <c r="Y197" s="41"/>
      <c r="Z197" s="41">
        <f t="shared" si="2"/>
        <v>1901000000</v>
      </c>
      <c r="AA197" s="47" t="s">
        <v>752</v>
      </c>
      <c r="AB197" s="39" t="s">
        <v>482</v>
      </c>
      <c r="AC197" s="39"/>
      <c r="AD197" s="39"/>
      <c r="AE197" s="39"/>
      <c r="AF197" s="102"/>
      <c r="AG197" s="102"/>
      <c r="AH197" s="17">
        <v>150000000</v>
      </c>
    </row>
    <row r="198" spans="1:34" ht="28.5">
      <c r="A198" s="40"/>
      <c r="B198" s="40"/>
      <c r="C198" s="42"/>
      <c r="D198" s="42"/>
      <c r="E198" s="42"/>
      <c r="F198" s="42"/>
      <c r="G198" s="42"/>
      <c r="H198" s="42"/>
      <c r="I198" s="42"/>
      <c r="J198" s="39" t="s">
        <v>949</v>
      </c>
      <c r="K198" s="39">
        <v>0</v>
      </c>
      <c r="L198" s="39">
        <v>1</v>
      </c>
      <c r="M198" s="39" t="s">
        <v>627</v>
      </c>
      <c r="N198" s="88">
        <v>0.25</v>
      </c>
      <c r="O198" s="88">
        <v>0.5</v>
      </c>
      <c r="P198" s="88">
        <v>0.75</v>
      </c>
      <c r="Q198" s="39">
        <v>1</v>
      </c>
      <c r="R198" s="39"/>
      <c r="S198" s="39" t="s">
        <v>292</v>
      </c>
      <c r="T198" s="41"/>
      <c r="U198" s="41"/>
      <c r="V198" s="41"/>
      <c r="W198" s="41"/>
      <c r="X198" s="41"/>
      <c r="Y198" s="41"/>
      <c r="Z198" s="41">
        <f t="shared" si="2"/>
        <v>0</v>
      </c>
      <c r="AA198" s="48"/>
      <c r="AB198" s="39" t="s">
        <v>483</v>
      </c>
      <c r="AC198" s="39"/>
      <c r="AD198" s="39"/>
      <c r="AE198" s="39"/>
      <c r="AF198" s="102"/>
      <c r="AG198" s="102"/>
      <c r="AH198" s="17">
        <v>50000000</v>
      </c>
    </row>
    <row r="199" spans="1:34">
      <c r="A199" s="40"/>
      <c r="B199" s="40"/>
      <c r="C199" s="42"/>
      <c r="D199" s="42"/>
      <c r="E199" s="42"/>
      <c r="F199" s="42"/>
      <c r="G199" s="42"/>
      <c r="H199" s="42"/>
      <c r="I199" s="42"/>
      <c r="J199" s="39" t="s">
        <v>950</v>
      </c>
      <c r="K199" s="39">
        <v>0</v>
      </c>
      <c r="L199" s="39">
        <v>1</v>
      </c>
      <c r="M199" s="39" t="s">
        <v>627</v>
      </c>
      <c r="N199" s="88">
        <v>0.25</v>
      </c>
      <c r="O199" s="88">
        <v>0.5</v>
      </c>
      <c r="P199" s="88">
        <v>0.75</v>
      </c>
      <c r="Q199" s="39">
        <v>1</v>
      </c>
      <c r="R199" s="39"/>
      <c r="S199" s="39" t="s">
        <v>292</v>
      </c>
      <c r="T199" s="41"/>
      <c r="U199" s="41"/>
      <c r="V199" s="41"/>
      <c r="W199" s="41"/>
      <c r="X199" s="41"/>
      <c r="Y199" s="41"/>
      <c r="Z199" s="41">
        <f t="shared" si="2"/>
        <v>0</v>
      </c>
      <c r="AA199" s="48"/>
      <c r="AB199" s="39" t="s">
        <v>484</v>
      </c>
      <c r="AC199" s="39"/>
      <c r="AD199" s="39"/>
      <c r="AE199" s="39"/>
      <c r="AF199" s="102"/>
      <c r="AG199" s="102"/>
      <c r="AH199" s="17">
        <v>50000000</v>
      </c>
    </row>
    <row r="200" spans="1:34" ht="28.5">
      <c r="A200" s="40"/>
      <c r="B200" s="40"/>
      <c r="C200" s="42"/>
      <c r="D200" s="42"/>
      <c r="E200" s="42"/>
      <c r="F200" s="42"/>
      <c r="G200" s="42"/>
      <c r="H200" s="42"/>
      <c r="I200" s="42"/>
      <c r="J200" s="39" t="s">
        <v>951</v>
      </c>
      <c r="K200" s="39">
        <v>0</v>
      </c>
      <c r="L200" s="39">
        <v>1</v>
      </c>
      <c r="M200" s="39" t="s">
        <v>627</v>
      </c>
      <c r="N200" s="88">
        <v>0.25</v>
      </c>
      <c r="O200" s="88">
        <v>0.5</v>
      </c>
      <c r="P200" s="88">
        <v>0.75</v>
      </c>
      <c r="Q200" s="39">
        <v>1</v>
      </c>
      <c r="R200" s="39"/>
      <c r="S200" s="39" t="s">
        <v>44</v>
      </c>
      <c r="T200" s="41"/>
      <c r="U200" s="41"/>
      <c r="V200" s="41"/>
      <c r="W200" s="41"/>
      <c r="X200" s="41"/>
      <c r="Y200" s="41"/>
      <c r="Z200" s="41">
        <f t="shared" si="2"/>
        <v>0</v>
      </c>
      <c r="AA200" s="48"/>
      <c r="AB200" s="39" t="s">
        <v>520</v>
      </c>
      <c r="AC200" s="39"/>
      <c r="AD200" s="39"/>
      <c r="AE200" s="39"/>
      <c r="AF200" s="102"/>
      <c r="AG200" s="102"/>
      <c r="AH200" s="17">
        <v>1000000</v>
      </c>
    </row>
    <row r="201" spans="1:34" ht="28.5">
      <c r="A201" s="40"/>
      <c r="B201" s="40"/>
      <c r="C201" s="42"/>
      <c r="D201" s="42"/>
      <c r="E201" s="42"/>
      <c r="F201" s="42"/>
      <c r="G201" s="42"/>
      <c r="H201" s="42"/>
      <c r="I201" s="42"/>
      <c r="J201" s="39" t="s">
        <v>952</v>
      </c>
      <c r="K201" s="39">
        <v>0</v>
      </c>
      <c r="L201" s="39">
        <v>1</v>
      </c>
      <c r="M201" s="39" t="s">
        <v>627</v>
      </c>
      <c r="N201" s="88">
        <v>0.25</v>
      </c>
      <c r="O201" s="88">
        <v>0.5</v>
      </c>
      <c r="P201" s="88">
        <v>0.75</v>
      </c>
      <c r="Q201" s="39">
        <v>1</v>
      </c>
      <c r="R201" s="39"/>
      <c r="S201" s="39" t="s">
        <v>292</v>
      </c>
      <c r="T201" s="41"/>
      <c r="U201" s="41"/>
      <c r="V201" s="41"/>
      <c r="W201" s="41"/>
      <c r="X201" s="41"/>
      <c r="Y201" s="41"/>
      <c r="Z201" s="41">
        <f t="shared" si="2"/>
        <v>0</v>
      </c>
      <c r="AA201" s="48"/>
      <c r="AB201" s="39" t="s">
        <v>485</v>
      </c>
      <c r="AC201" s="39"/>
      <c r="AD201" s="39"/>
      <c r="AE201" s="39"/>
      <c r="AF201" s="102"/>
      <c r="AG201" s="102"/>
      <c r="AH201" s="17">
        <v>50000000</v>
      </c>
    </row>
    <row r="202" spans="1:34" ht="28.5">
      <c r="A202" s="40"/>
      <c r="B202" s="40"/>
      <c r="C202" s="42"/>
      <c r="D202" s="42"/>
      <c r="E202" s="42"/>
      <c r="F202" s="42"/>
      <c r="G202" s="42"/>
      <c r="H202" s="42"/>
      <c r="I202" s="39" t="s">
        <v>738</v>
      </c>
      <c r="J202" s="39" t="s">
        <v>953</v>
      </c>
      <c r="K202" s="39">
        <v>0</v>
      </c>
      <c r="L202" s="39">
        <v>1</v>
      </c>
      <c r="M202" s="39" t="s">
        <v>627</v>
      </c>
      <c r="N202" s="39">
        <v>0</v>
      </c>
      <c r="O202" s="39">
        <v>1</v>
      </c>
      <c r="P202" s="39">
        <v>0</v>
      </c>
      <c r="Q202" s="39">
        <v>0</v>
      </c>
      <c r="R202" s="39"/>
      <c r="S202" s="39" t="s">
        <v>292</v>
      </c>
      <c r="T202" s="29">
        <v>150000000</v>
      </c>
      <c r="U202" s="29">
        <v>150000000</v>
      </c>
      <c r="V202" s="29"/>
      <c r="W202" s="29"/>
      <c r="X202" s="29"/>
      <c r="Y202" s="29"/>
      <c r="Z202" s="29">
        <f t="shared" si="2"/>
        <v>300000000</v>
      </c>
      <c r="AA202" s="48"/>
      <c r="AB202" s="39" t="s">
        <v>303</v>
      </c>
      <c r="AC202" s="39"/>
      <c r="AD202" s="39"/>
      <c r="AE202" s="39"/>
      <c r="AF202" s="102"/>
      <c r="AG202" s="102"/>
      <c r="AH202" s="17">
        <v>50000000</v>
      </c>
    </row>
    <row r="203" spans="1:34">
      <c r="A203" s="40"/>
      <c r="B203" s="40"/>
      <c r="C203" s="42"/>
      <c r="D203" s="42"/>
      <c r="E203" s="42"/>
      <c r="F203" s="42"/>
      <c r="G203" s="42"/>
      <c r="H203" s="42"/>
      <c r="I203" s="42" t="s">
        <v>739</v>
      </c>
      <c r="J203" s="39" t="s">
        <v>954</v>
      </c>
      <c r="K203" s="39">
        <v>0</v>
      </c>
      <c r="L203" s="39">
        <v>1</v>
      </c>
      <c r="M203" s="39" t="s">
        <v>627</v>
      </c>
      <c r="N203" s="39">
        <v>0.25</v>
      </c>
      <c r="O203" s="39">
        <v>0.5</v>
      </c>
      <c r="P203" s="39">
        <v>0.75</v>
      </c>
      <c r="Q203" s="39">
        <v>1</v>
      </c>
      <c r="R203" s="39"/>
      <c r="S203" s="32" t="s">
        <v>292</v>
      </c>
      <c r="T203" s="41">
        <v>1250000000</v>
      </c>
      <c r="U203" s="41">
        <v>1000000000</v>
      </c>
      <c r="V203" s="41"/>
      <c r="W203" s="41"/>
      <c r="X203" s="41"/>
      <c r="Y203" s="41"/>
      <c r="Z203" s="41">
        <f t="shared" ref="Z203:Z266" si="3">+T203+U203+V203+W203+X203+Y203</f>
        <v>2250000000</v>
      </c>
      <c r="AA203" s="48"/>
      <c r="AB203" s="39" t="s">
        <v>486</v>
      </c>
      <c r="AC203" s="39"/>
      <c r="AD203" s="39"/>
      <c r="AE203" s="39"/>
      <c r="AF203" s="102"/>
      <c r="AG203" s="102"/>
      <c r="AH203" s="17">
        <v>1000000000</v>
      </c>
    </row>
    <row r="204" spans="1:34" ht="28.5">
      <c r="A204" s="40"/>
      <c r="B204" s="40"/>
      <c r="C204" s="42"/>
      <c r="D204" s="42"/>
      <c r="E204" s="42"/>
      <c r="F204" s="42"/>
      <c r="G204" s="42"/>
      <c r="H204" s="42"/>
      <c r="I204" s="42"/>
      <c r="J204" s="39" t="s">
        <v>955</v>
      </c>
      <c r="K204" s="39">
        <v>0</v>
      </c>
      <c r="L204" s="39">
        <v>2</v>
      </c>
      <c r="M204" s="39" t="s">
        <v>627</v>
      </c>
      <c r="N204" s="39">
        <v>0</v>
      </c>
      <c r="O204" s="39">
        <v>1</v>
      </c>
      <c r="P204" s="39">
        <v>2</v>
      </c>
      <c r="Q204" s="39">
        <v>0</v>
      </c>
      <c r="R204" s="39"/>
      <c r="S204" s="32" t="s">
        <v>287</v>
      </c>
      <c r="T204" s="41"/>
      <c r="U204" s="41"/>
      <c r="V204" s="41"/>
      <c r="W204" s="41"/>
      <c r="X204" s="41"/>
      <c r="Y204" s="41"/>
      <c r="Z204" s="41">
        <f t="shared" si="3"/>
        <v>0</v>
      </c>
      <c r="AA204" s="48"/>
      <c r="AB204" s="39" t="s">
        <v>501</v>
      </c>
      <c r="AC204" s="39"/>
      <c r="AD204" s="39"/>
      <c r="AE204" s="39"/>
      <c r="AF204" s="102"/>
      <c r="AG204" s="102"/>
      <c r="AH204" s="17">
        <v>75000000</v>
      </c>
    </row>
    <row r="205" spans="1:34" ht="28.5">
      <c r="A205" s="40"/>
      <c r="B205" s="40"/>
      <c r="C205" s="42"/>
      <c r="D205" s="42"/>
      <c r="E205" s="42"/>
      <c r="F205" s="42"/>
      <c r="G205" s="42"/>
      <c r="H205" s="42"/>
      <c r="I205" s="42"/>
      <c r="J205" s="39" t="s">
        <v>956</v>
      </c>
      <c r="K205" s="39">
        <v>0</v>
      </c>
      <c r="L205" s="39">
        <v>1</v>
      </c>
      <c r="M205" s="39" t="s">
        <v>627</v>
      </c>
      <c r="N205" s="88">
        <v>0.25</v>
      </c>
      <c r="O205" s="88">
        <v>0.5</v>
      </c>
      <c r="P205" s="88">
        <v>0.75</v>
      </c>
      <c r="Q205" s="39">
        <v>1</v>
      </c>
      <c r="R205" s="39"/>
      <c r="S205" s="32" t="s">
        <v>292</v>
      </c>
      <c r="T205" s="41"/>
      <c r="U205" s="41"/>
      <c r="V205" s="41"/>
      <c r="W205" s="41"/>
      <c r="X205" s="41"/>
      <c r="Y205" s="41"/>
      <c r="Z205" s="41">
        <f t="shared" si="3"/>
        <v>0</v>
      </c>
      <c r="AA205" s="48"/>
      <c r="AB205" s="39" t="s">
        <v>487</v>
      </c>
      <c r="AC205" s="39"/>
      <c r="AD205" s="39"/>
      <c r="AE205" s="39"/>
      <c r="AF205" s="102"/>
      <c r="AG205" s="102"/>
      <c r="AH205" s="17">
        <v>300000000</v>
      </c>
    </row>
    <row r="206" spans="1:34" ht="28.5">
      <c r="A206" s="40"/>
      <c r="B206" s="40"/>
      <c r="C206" s="42"/>
      <c r="D206" s="42"/>
      <c r="E206" s="42"/>
      <c r="F206" s="42"/>
      <c r="G206" s="42"/>
      <c r="H206" s="42"/>
      <c r="I206" s="42"/>
      <c r="J206" s="39" t="s">
        <v>957</v>
      </c>
      <c r="K206" s="39">
        <v>0</v>
      </c>
      <c r="L206" s="39">
        <v>1</v>
      </c>
      <c r="M206" s="39" t="s">
        <v>627</v>
      </c>
      <c r="N206" s="88">
        <v>0.25</v>
      </c>
      <c r="O206" s="88">
        <v>0.5</v>
      </c>
      <c r="P206" s="88">
        <v>0.75</v>
      </c>
      <c r="Q206" s="39">
        <v>1</v>
      </c>
      <c r="R206" s="39"/>
      <c r="S206" s="32" t="s">
        <v>292</v>
      </c>
      <c r="T206" s="41"/>
      <c r="U206" s="41"/>
      <c r="V206" s="41"/>
      <c r="W206" s="41"/>
      <c r="X206" s="41"/>
      <c r="Y206" s="41"/>
      <c r="Z206" s="41">
        <f t="shared" si="3"/>
        <v>0</v>
      </c>
      <c r="AA206" s="48"/>
      <c r="AB206" s="39" t="s">
        <v>305</v>
      </c>
      <c r="AC206" s="39"/>
      <c r="AD206" s="39"/>
      <c r="AE206" s="39"/>
      <c r="AF206" s="102"/>
      <c r="AG206" s="102"/>
      <c r="AH206" s="17">
        <v>0</v>
      </c>
    </row>
    <row r="207" spans="1:34" ht="409.5">
      <c r="A207" s="40"/>
      <c r="B207" s="40"/>
      <c r="C207" s="42"/>
      <c r="D207" s="42"/>
      <c r="E207" s="42"/>
      <c r="F207" s="42"/>
      <c r="G207" s="42"/>
      <c r="H207" s="42"/>
      <c r="I207" s="42" t="s">
        <v>740</v>
      </c>
      <c r="J207" s="39" t="s">
        <v>958</v>
      </c>
      <c r="K207" s="39">
        <v>0</v>
      </c>
      <c r="L207" s="39">
        <v>11</v>
      </c>
      <c r="M207" s="39" t="s">
        <v>627</v>
      </c>
      <c r="N207" s="39">
        <v>5</v>
      </c>
      <c r="O207" s="39">
        <v>7</v>
      </c>
      <c r="P207" s="39">
        <v>9</v>
      </c>
      <c r="Q207" s="39">
        <v>11</v>
      </c>
      <c r="R207" s="39">
        <v>1</v>
      </c>
      <c r="S207" s="39" t="s">
        <v>45</v>
      </c>
      <c r="T207" s="41">
        <v>1186000000</v>
      </c>
      <c r="U207" s="41"/>
      <c r="V207" s="41"/>
      <c r="W207" s="41"/>
      <c r="X207" s="41"/>
      <c r="Y207" s="41"/>
      <c r="Z207" s="41">
        <f t="shared" si="3"/>
        <v>1186000000</v>
      </c>
      <c r="AA207" s="48"/>
      <c r="AB207" s="47" t="s">
        <v>569</v>
      </c>
      <c r="AC207" s="80" t="s">
        <v>1178</v>
      </c>
      <c r="AD207" s="80" t="s">
        <v>1179</v>
      </c>
      <c r="AE207" s="81" t="s">
        <v>1180</v>
      </c>
      <c r="AF207" s="102">
        <f>0</f>
        <v>0</v>
      </c>
      <c r="AG207" s="102">
        <v>0</v>
      </c>
      <c r="AH207" s="17">
        <v>70000000</v>
      </c>
    </row>
    <row r="208" spans="1:34" ht="114">
      <c r="A208" s="40"/>
      <c r="B208" s="40"/>
      <c r="C208" s="42"/>
      <c r="D208" s="42"/>
      <c r="E208" s="42"/>
      <c r="F208" s="42"/>
      <c r="G208" s="42"/>
      <c r="H208" s="42"/>
      <c r="I208" s="42"/>
      <c r="J208" s="39" t="s">
        <v>959</v>
      </c>
      <c r="K208" s="39">
        <v>0</v>
      </c>
      <c r="L208" s="32">
        <v>1</v>
      </c>
      <c r="M208" s="39" t="s">
        <v>627</v>
      </c>
      <c r="N208" s="32">
        <v>1</v>
      </c>
      <c r="O208" s="32">
        <v>1</v>
      </c>
      <c r="P208" s="32">
        <v>1</v>
      </c>
      <c r="Q208" s="32">
        <v>1</v>
      </c>
      <c r="R208" s="32">
        <v>0</v>
      </c>
      <c r="S208" s="39" t="s">
        <v>45</v>
      </c>
      <c r="T208" s="41"/>
      <c r="U208" s="41"/>
      <c r="V208" s="41"/>
      <c r="W208" s="41"/>
      <c r="X208" s="41"/>
      <c r="Y208" s="41"/>
      <c r="Z208" s="41">
        <f t="shared" si="3"/>
        <v>0</v>
      </c>
      <c r="AA208" s="48"/>
      <c r="AB208" s="49"/>
      <c r="AC208" s="80" t="s">
        <v>1181</v>
      </c>
      <c r="AD208" s="80" t="s">
        <v>1182</v>
      </c>
      <c r="AE208" s="81" t="s">
        <v>1183</v>
      </c>
      <c r="AF208" s="102">
        <f>54000000+578701+39000000</f>
        <v>93578701</v>
      </c>
      <c r="AG208" s="102">
        <f>17335000+578701+39000000</f>
        <v>56913701</v>
      </c>
      <c r="AH208" s="17">
        <v>0</v>
      </c>
    </row>
    <row r="209" spans="1:34" ht="71.25">
      <c r="A209" s="40"/>
      <c r="B209" s="40"/>
      <c r="C209" s="42"/>
      <c r="D209" s="42"/>
      <c r="E209" s="42"/>
      <c r="F209" s="42"/>
      <c r="G209" s="42"/>
      <c r="H209" s="42"/>
      <c r="I209" s="42" t="s">
        <v>741</v>
      </c>
      <c r="J209" s="39" t="s">
        <v>960</v>
      </c>
      <c r="K209" s="39">
        <v>12</v>
      </c>
      <c r="L209" s="39">
        <v>29</v>
      </c>
      <c r="M209" s="39" t="s">
        <v>627</v>
      </c>
      <c r="N209" s="39">
        <v>17</v>
      </c>
      <c r="O209" s="39">
        <v>22</v>
      </c>
      <c r="P209" s="39">
        <v>25</v>
      </c>
      <c r="Q209" s="39">
        <v>29</v>
      </c>
      <c r="R209" s="39"/>
      <c r="S209" s="32" t="s">
        <v>287</v>
      </c>
      <c r="T209" s="29">
        <v>480000000</v>
      </c>
      <c r="U209" s="29"/>
      <c r="V209" s="29"/>
      <c r="W209" s="29"/>
      <c r="X209" s="29"/>
      <c r="Y209" s="29"/>
      <c r="Z209" s="29">
        <f t="shared" si="3"/>
        <v>480000000</v>
      </c>
      <c r="AA209" s="48"/>
      <c r="AB209" s="39" t="s">
        <v>506</v>
      </c>
      <c r="AC209" s="39" t="s">
        <v>1327</v>
      </c>
      <c r="AD209" s="39" t="s">
        <v>1328</v>
      </c>
      <c r="AE209" s="39"/>
      <c r="AF209" s="102">
        <f>2000000+43787397+1448158+51111388+54487</f>
        <v>98401430</v>
      </c>
      <c r="AG209" s="102">
        <f>62268+51000000</f>
        <v>51062268</v>
      </c>
      <c r="AH209" s="17">
        <v>124328948</v>
      </c>
    </row>
    <row r="210" spans="1:34" ht="240">
      <c r="A210" s="40"/>
      <c r="B210" s="40"/>
      <c r="C210" s="42"/>
      <c r="D210" s="42"/>
      <c r="E210" s="42"/>
      <c r="F210" s="42"/>
      <c r="G210" s="42"/>
      <c r="H210" s="42"/>
      <c r="I210" s="42"/>
      <c r="J210" s="39" t="s">
        <v>961</v>
      </c>
      <c r="K210" s="39">
        <v>0</v>
      </c>
      <c r="L210" s="39">
        <v>1</v>
      </c>
      <c r="M210" s="39" t="s">
        <v>627</v>
      </c>
      <c r="N210" s="88">
        <v>0.25</v>
      </c>
      <c r="O210" s="88">
        <v>0.5</v>
      </c>
      <c r="P210" s="88">
        <v>0.75</v>
      </c>
      <c r="Q210" s="39">
        <v>1</v>
      </c>
      <c r="R210" s="39">
        <v>0.25</v>
      </c>
      <c r="S210" s="32" t="s">
        <v>337</v>
      </c>
      <c r="T210" s="29"/>
      <c r="U210" s="29"/>
      <c r="V210" s="29"/>
      <c r="W210" s="29"/>
      <c r="X210" s="29"/>
      <c r="Y210" s="29"/>
      <c r="Z210" s="29">
        <f t="shared" si="3"/>
        <v>0</v>
      </c>
      <c r="AA210" s="48"/>
      <c r="AB210" s="39" t="s">
        <v>488</v>
      </c>
      <c r="AC210" s="39" t="s">
        <v>1276</v>
      </c>
      <c r="AD210" s="39" t="s">
        <v>1277</v>
      </c>
      <c r="AE210" s="39"/>
      <c r="AF210" s="102">
        <v>40000000</v>
      </c>
      <c r="AG210" s="102">
        <v>19990000</v>
      </c>
      <c r="AH210" s="17">
        <v>40000000</v>
      </c>
    </row>
    <row r="211" spans="1:34" ht="42.75">
      <c r="A211" s="40"/>
      <c r="B211" s="40"/>
      <c r="C211" s="42"/>
      <c r="D211" s="42"/>
      <c r="E211" s="42"/>
      <c r="F211" s="42"/>
      <c r="G211" s="42"/>
      <c r="H211" s="42"/>
      <c r="I211" s="39" t="s">
        <v>742</v>
      </c>
      <c r="J211" s="39" t="s">
        <v>962</v>
      </c>
      <c r="K211" s="15">
        <v>0</v>
      </c>
      <c r="L211" s="15">
        <v>1</v>
      </c>
      <c r="M211" s="39" t="s">
        <v>627</v>
      </c>
      <c r="N211" s="88">
        <v>0.25</v>
      </c>
      <c r="O211" s="88">
        <v>0.5</v>
      </c>
      <c r="P211" s="88">
        <v>0.75</v>
      </c>
      <c r="Q211" s="39">
        <v>1</v>
      </c>
      <c r="R211" s="39"/>
      <c r="S211" s="32" t="s">
        <v>46</v>
      </c>
      <c r="T211" s="29"/>
      <c r="U211" s="29"/>
      <c r="V211" s="29"/>
      <c r="W211" s="29"/>
      <c r="X211" s="29"/>
      <c r="Y211" s="29"/>
      <c r="Z211" s="29">
        <f t="shared" si="3"/>
        <v>0</v>
      </c>
      <c r="AA211" s="48"/>
      <c r="AB211" s="39" t="s">
        <v>546</v>
      </c>
      <c r="AC211" s="39"/>
      <c r="AD211" s="39"/>
      <c r="AE211" s="39"/>
      <c r="AF211" s="102"/>
      <c r="AG211" s="102"/>
      <c r="AH211" s="17">
        <v>1000000</v>
      </c>
    </row>
    <row r="212" spans="1:34">
      <c r="A212" s="40"/>
      <c r="B212" s="40"/>
      <c r="C212" s="42"/>
      <c r="D212" s="42"/>
      <c r="E212" s="42"/>
      <c r="F212" s="42"/>
      <c r="G212" s="42"/>
      <c r="H212" s="42"/>
      <c r="I212" s="42" t="s">
        <v>743</v>
      </c>
      <c r="J212" s="39" t="s">
        <v>963</v>
      </c>
      <c r="K212" s="15">
        <v>0</v>
      </c>
      <c r="L212" s="15">
        <v>1</v>
      </c>
      <c r="M212" s="39" t="s">
        <v>627</v>
      </c>
      <c r="N212" s="88">
        <v>0.25</v>
      </c>
      <c r="O212" s="88">
        <v>0.5</v>
      </c>
      <c r="P212" s="88">
        <v>0.75</v>
      </c>
      <c r="Q212" s="39">
        <v>1</v>
      </c>
      <c r="R212" s="39"/>
      <c r="S212" s="32" t="s">
        <v>292</v>
      </c>
      <c r="T212" s="29">
        <v>646000000</v>
      </c>
      <c r="U212" s="29"/>
      <c r="V212" s="29"/>
      <c r="W212" s="29"/>
      <c r="X212" s="29"/>
      <c r="Y212" s="29"/>
      <c r="Z212" s="29">
        <f t="shared" si="3"/>
        <v>646000000</v>
      </c>
      <c r="AA212" s="48"/>
      <c r="AB212" s="39" t="s">
        <v>489</v>
      </c>
      <c r="AC212" s="39"/>
      <c r="AD212" s="39"/>
      <c r="AE212" s="39"/>
      <c r="AF212" s="102"/>
      <c r="AG212" s="102"/>
      <c r="AH212" s="17">
        <v>160000000</v>
      </c>
    </row>
    <row r="213" spans="1:34" ht="28.5">
      <c r="A213" s="40"/>
      <c r="B213" s="40"/>
      <c r="C213" s="42"/>
      <c r="D213" s="42"/>
      <c r="E213" s="42"/>
      <c r="F213" s="42"/>
      <c r="G213" s="42"/>
      <c r="H213" s="42"/>
      <c r="I213" s="42"/>
      <c r="J213" s="39" t="s">
        <v>964</v>
      </c>
      <c r="K213" s="39">
        <v>2</v>
      </c>
      <c r="L213" s="39">
        <v>6</v>
      </c>
      <c r="M213" s="39" t="s">
        <v>627</v>
      </c>
      <c r="N213" s="39">
        <v>0</v>
      </c>
      <c r="O213" s="39">
        <v>3</v>
      </c>
      <c r="P213" s="39">
        <v>4</v>
      </c>
      <c r="Q213" s="39">
        <v>6</v>
      </c>
      <c r="R213" s="39"/>
      <c r="S213" s="39" t="s">
        <v>44</v>
      </c>
      <c r="T213" s="29">
        <v>60000000</v>
      </c>
      <c r="U213" s="29"/>
      <c r="V213" s="29"/>
      <c r="W213" s="29"/>
      <c r="X213" s="29"/>
      <c r="Y213" s="29"/>
      <c r="Z213" s="29">
        <f t="shared" si="3"/>
        <v>60000000</v>
      </c>
      <c r="AA213" s="48"/>
      <c r="AB213" s="39" t="s">
        <v>346</v>
      </c>
      <c r="AC213" s="39"/>
      <c r="AD213" s="39"/>
      <c r="AE213" s="39"/>
      <c r="AF213" s="102"/>
      <c r="AG213" s="102"/>
      <c r="AH213" s="17">
        <v>1000000</v>
      </c>
    </row>
    <row r="214" spans="1:34">
      <c r="A214" s="40"/>
      <c r="B214" s="40"/>
      <c r="C214" s="42"/>
      <c r="D214" s="42"/>
      <c r="E214" s="42"/>
      <c r="F214" s="42"/>
      <c r="G214" s="42"/>
      <c r="H214" s="42"/>
      <c r="I214" s="39" t="s">
        <v>744</v>
      </c>
      <c r="J214" s="39" t="s">
        <v>965</v>
      </c>
      <c r="K214" s="39">
        <v>0</v>
      </c>
      <c r="L214" s="39">
        <v>1</v>
      </c>
      <c r="M214" s="39" t="s">
        <v>627</v>
      </c>
      <c r="N214" s="88">
        <v>0.25</v>
      </c>
      <c r="O214" s="88">
        <v>0.5</v>
      </c>
      <c r="P214" s="88">
        <v>0.75</v>
      </c>
      <c r="Q214" s="39">
        <v>1</v>
      </c>
      <c r="R214" s="39"/>
      <c r="S214" s="39" t="s">
        <v>292</v>
      </c>
      <c r="T214" s="29">
        <v>1669000000</v>
      </c>
      <c r="U214" s="29"/>
      <c r="V214" s="29"/>
      <c r="W214" s="29"/>
      <c r="X214" s="29"/>
      <c r="Y214" s="29">
        <v>8367254000</v>
      </c>
      <c r="Z214" s="29">
        <f t="shared" si="3"/>
        <v>10036254000</v>
      </c>
      <c r="AA214" s="48"/>
      <c r="AB214" s="39" t="s">
        <v>490</v>
      </c>
      <c r="AC214" s="39"/>
      <c r="AD214" s="39"/>
      <c r="AE214" s="39"/>
      <c r="AF214" s="102"/>
      <c r="AG214" s="102"/>
      <c r="AH214" s="17">
        <v>39714771</v>
      </c>
    </row>
    <row r="215" spans="1:34" ht="28.5">
      <c r="A215" s="40"/>
      <c r="B215" s="40"/>
      <c r="C215" s="42"/>
      <c r="D215" s="42"/>
      <c r="E215" s="42"/>
      <c r="F215" s="42"/>
      <c r="G215" s="42"/>
      <c r="H215" s="42"/>
      <c r="I215" s="42" t="s">
        <v>745</v>
      </c>
      <c r="J215" s="39" t="s">
        <v>966</v>
      </c>
      <c r="K215" s="39">
        <v>0</v>
      </c>
      <c r="L215" s="39">
        <v>1</v>
      </c>
      <c r="M215" s="39" t="s">
        <v>627</v>
      </c>
      <c r="N215" s="88">
        <v>0.25</v>
      </c>
      <c r="O215" s="88">
        <v>0.5</v>
      </c>
      <c r="P215" s="88">
        <v>0.75</v>
      </c>
      <c r="Q215" s="39">
        <v>1</v>
      </c>
      <c r="R215" s="39"/>
      <c r="S215" s="39" t="s">
        <v>44</v>
      </c>
      <c r="T215" s="29">
        <v>1000000</v>
      </c>
      <c r="U215" s="29"/>
      <c r="V215" s="29"/>
      <c r="W215" s="29"/>
      <c r="X215" s="29"/>
      <c r="Y215" s="29"/>
      <c r="Z215" s="29">
        <f t="shared" si="3"/>
        <v>1000000</v>
      </c>
      <c r="AA215" s="48"/>
      <c r="AB215" s="39" t="s">
        <v>347</v>
      </c>
      <c r="AC215" s="39"/>
      <c r="AD215" s="39"/>
      <c r="AE215" s="39"/>
      <c r="AF215" s="102"/>
      <c r="AG215" s="102"/>
      <c r="AH215" s="17">
        <v>636280000</v>
      </c>
    </row>
    <row r="216" spans="1:34" ht="42.75">
      <c r="A216" s="40"/>
      <c r="B216" s="40"/>
      <c r="C216" s="42"/>
      <c r="D216" s="42"/>
      <c r="E216" s="42"/>
      <c r="F216" s="42"/>
      <c r="G216" s="42"/>
      <c r="H216" s="42"/>
      <c r="I216" s="42"/>
      <c r="J216" s="39" t="s">
        <v>967</v>
      </c>
      <c r="K216" s="39">
        <v>0</v>
      </c>
      <c r="L216" s="39">
        <v>1</v>
      </c>
      <c r="M216" s="39" t="s">
        <v>627</v>
      </c>
      <c r="N216" s="39">
        <v>0</v>
      </c>
      <c r="O216" s="39">
        <v>0.5</v>
      </c>
      <c r="P216" s="39">
        <v>0.75</v>
      </c>
      <c r="Q216" s="39">
        <v>1</v>
      </c>
      <c r="R216" s="39"/>
      <c r="S216" s="39" t="s">
        <v>294</v>
      </c>
      <c r="T216" s="11"/>
      <c r="U216" s="11"/>
      <c r="V216" s="11"/>
      <c r="W216" s="29"/>
      <c r="X216" s="29">
        <f>5000000000-1065699836</f>
        <v>3934300164</v>
      </c>
      <c r="Y216" s="11"/>
      <c r="Z216" s="11">
        <f t="shared" si="3"/>
        <v>3934300164</v>
      </c>
      <c r="AA216" s="49"/>
      <c r="AB216" s="39" t="s">
        <v>418</v>
      </c>
      <c r="AC216" s="39"/>
      <c r="AD216" s="39"/>
      <c r="AE216" s="39"/>
      <c r="AF216" s="102"/>
      <c r="AG216" s="102"/>
      <c r="AH216" s="17">
        <v>0</v>
      </c>
    </row>
    <row r="217" spans="1:34" ht="99.75">
      <c r="A217" s="40"/>
      <c r="B217" s="40"/>
      <c r="C217" s="42"/>
      <c r="D217" s="42"/>
      <c r="E217" s="42"/>
      <c r="F217" s="42"/>
      <c r="G217" s="42"/>
      <c r="H217" s="42" t="s">
        <v>735</v>
      </c>
      <c r="I217" s="42" t="s">
        <v>746</v>
      </c>
      <c r="J217" s="39" t="s">
        <v>968</v>
      </c>
      <c r="K217" s="39">
        <v>0</v>
      </c>
      <c r="L217" s="39">
        <v>4</v>
      </c>
      <c r="M217" s="39" t="s">
        <v>627</v>
      </c>
      <c r="N217" s="39">
        <v>1</v>
      </c>
      <c r="O217" s="39">
        <v>2</v>
      </c>
      <c r="P217" s="39">
        <v>3</v>
      </c>
      <c r="Q217" s="39">
        <v>4</v>
      </c>
      <c r="R217" s="39">
        <v>1</v>
      </c>
      <c r="S217" s="39" t="s">
        <v>290</v>
      </c>
      <c r="T217" s="29">
        <v>2500000000</v>
      </c>
      <c r="U217" s="29"/>
      <c r="V217" s="29"/>
      <c r="W217" s="29"/>
      <c r="X217" s="29"/>
      <c r="Y217" s="29"/>
      <c r="Z217" s="29">
        <f t="shared" si="3"/>
        <v>2500000000</v>
      </c>
      <c r="AA217" s="47" t="s">
        <v>735</v>
      </c>
      <c r="AB217" s="39" t="s">
        <v>637</v>
      </c>
      <c r="AC217" s="90" t="s">
        <v>1320</v>
      </c>
      <c r="AD217" s="39" t="s">
        <v>1321</v>
      </c>
      <c r="AE217" s="39"/>
      <c r="AF217" s="102">
        <f>216510571+484835469+3810630</f>
        <v>705156670</v>
      </c>
      <c r="AG217" s="102">
        <f>111784672+484835469</f>
        <v>596620141</v>
      </c>
      <c r="AH217" s="17">
        <v>200000000</v>
      </c>
    </row>
    <row r="218" spans="1:34" ht="42.75">
      <c r="A218" s="40"/>
      <c r="B218" s="40"/>
      <c r="C218" s="42"/>
      <c r="D218" s="42"/>
      <c r="E218" s="42"/>
      <c r="F218" s="42"/>
      <c r="G218" s="42"/>
      <c r="H218" s="42"/>
      <c r="I218" s="42"/>
      <c r="J218" s="39" t="s">
        <v>969</v>
      </c>
      <c r="K218" s="39">
        <v>0</v>
      </c>
      <c r="L218" s="39">
        <v>3000</v>
      </c>
      <c r="M218" s="39" t="s">
        <v>627</v>
      </c>
      <c r="N218" s="39">
        <v>1500</v>
      </c>
      <c r="O218" s="39">
        <v>3000</v>
      </c>
      <c r="P218" s="39">
        <v>0</v>
      </c>
      <c r="Q218" s="39">
        <v>0</v>
      </c>
      <c r="R218" s="39">
        <f>1850+585</f>
        <v>2435</v>
      </c>
      <c r="S218" s="39" t="s">
        <v>290</v>
      </c>
      <c r="T218" s="29"/>
      <c r="U218" s="29"/>
      <c r="V218" s="29"/>
      <c r="W218" s="29"/>
      <c r="X218" s="29"/>
      <c r="Y218" s="29"/>
      <c r="Z218" s="29">
        <f t="shared" si="3"/>
        <v>0</v>
      </c>
      <c r="AA218" s="48"/>
      <c r="AB218" s="39" t="s">
        <v>455</v>
      </c>
      <c r="AC218" s="90" t="s">
        <v>1322</v>
      </c>
      <c r="AD218" s="39" t="s">
        <v>1323</v>
      </c>
      <c r="AE218" s="39" t="s">
        <v>1324</v>
      </c>
      <c r="AF218" s="102"/>
      <c r="AG218" s="102"/>
      <c r="AH218" s="17">
        <v>1000000</v>
      </c>
    </row>
    <row r="219" spans="1:34" ht="28.5">
      <c r="A219" s="40"/>
      <c r="B219" s="40"/>
      <c r="C219" s="42"/>
      <c r="D219" s="42"/>
      <c r="E219" s="42"/>
      <c r="F219" s="42"/>
      <c r="G219" s="42"/>
      <c r="H219" s="42"/>
      <c r="I219" s="42" t="s">
        <v>747</v>
      </c>
      <c r="J219" s="39" t="s">
        <v>970</v>
      </c>
      <c r="K219" s="39">
        <v>0</v>
      </c>
      <c r="L219" s="39">
        <v>60</v>
      </c>
      <c r="M219" s="39" t="s">
        <v>627</v>
      </c>
      <c r="N219" s="39">
        <v>10</v>
      </c>
      <c r="O219" s="39">
        <v>20</v>
      </c>
      <c r="P219" s="39">
        <v>30</v>
      </c>
      <c r="Q219" s="39">
        <v>60</v>
      </c>
      <c r="R219" s="39"/>
      <c r="S219" s="39" t="s">
        <v>44</v>
      </c>
      <c r="T219" s="41"/>
      <c r="U219" s="41"/>
      <c r="V219" s="41"/>
      <c r="W219" s="41"/>
      <c r="X219" s="41"/>
      <c r="Y219" s="41"/>
      <c r="Z219" s="41">
        <f t="shared" si="3"/>
        <v>0</v>
      </c>
      <c r="AA219" s="48"/>
      <c r="AB219" s="39" t="s">
        <v>344</v>
      </c>
      <c r="AC219" s="39"/>
      <c r="AD219" s="39"/>
      <c r="AE219" s="39"/>
      <c r="AF219" s="102"/>
      <c r="AG219" s="102"/>
      <c r="AH219" s="17">
        <v>89000000</v>
      </c>
    </row>
    <row r="220" spans="1:34" ht="28.5">
      <c r="A220" s="40"/>
      <c r="B220" s="40"/>
      <c r="C220" s="42"/>
      <c r="D220" s="42"/>
      <c r="E220" s="42"/>
      <c r="F220" s="42"/>
      <c r="G220" s="42"/>
      <c r="H220" s="42"/>
      <c r="I220" s="42"/>
      <c r="J220" s="39" t="s">
        <v>971</v>
      </c>
      <c r="K220" s="39">
        <v>0</v>
      </c>
      <c r="L220" s="39">
        <v>1</v>
      </c>
      <c r="M220" s="39" t="s">
        <v>627</v>
      </c>
      <c r="N220" s="39">
        <v>0</v>
      </c>
      <c r="O220" s="39">
        <v>0.5</v>
      </c>
      <c r="P220" s="39">
        <v>0.75</v>
      </c>
      <c r="Q220" s="39">
        <v>1</v>
      </c>
      <c r="R220" s="39"/>
      <c r="S220" s="39" t="s">
        <v>44</v>
      </c>
      <c r="T220" s="41"/>
      <c r="U220" s="41"/>
      <c r="V220" s="41"/>
      <c r="W220" s="41"/>
      <c r="X220" s="41"/>
      <c r="Y220" s="41"/>
      <c r="Z220" s="41">
        <f t="shared" si="3"/>
        <v>0</v>
      </c>
      <c r="AA220" s="48"/>
      <c r="AB220" s="39" t="s">
        <v>345</v>
      </c>
      <c r="AC220" s="39"/>
      <c r="AD220" s="39"/>
      <c r="AE220" s="39"/>
      <c r="AF220" s="102"/>
      <c r="AG220" s="102"/>
      <c r="AH220" s="17">
        <v>30000000</v>
      </c>
    </row>
    <row r="221" spans="1:34" ht="28.5">
      <c r="A221" s="40"/>
      <c r="B221" s="40"/>
      <c r="C221" s="42"/>
      <c r="D221" s="42"/>
      <c r="E221" s="42"/>
      <c r="F221" s="42"/>
      <c r="G221" s="42"/>
      <c r="H221" s="42"/>
      <c r="I221" s="39" t="s">
        <v>748</v>
      </c>
      <c r="J221" s="39" t="s">
        <v>972</v>
      </c>
      <c r="K221" s="39">
        <v>0</v>
      </c>
      <c r="L221" s="32">
        <v>1</v>
      </c>
      <c r="M221" s="39" t="s">
        <v>627</v>
      </c>
      <c r="N221" s="32">
        <v>1</v>
      </c>
      <c r="O221" s="32">
        <v>1</v>
      </c>
      <c r="P221" s="32">
        <v>1</v>
      </c>
      <c r="Q221" s="32">
        <v>1</v>
      </c>
      <c r="R221" s="32"/>
      <c r="S221" s="39" t="s">
        <v>292</v>
      </c>
      <c r="T221" s="29">
        <v>500000000</v>
      </c>
      <c r="U221" s="29"/>
      <c r="V221" s="29"/>
      <c r="W221" s="29"/>
      <c r="X221" s="29"/>
      <c r="Y221" s="29"/>
      <c r="Z221" s="29">
        <f t="shared" si="3"/>
        <v>500000000</v>
      </c>
      <c r="AA221" s="48"/>
      <c r="AB221" s="39" t="s">
        <v>491</v>
      </c>
      <c r="AC221" s="39"/>
      <c r="AD221" s="39"/>
      <c r="AE221" s="39"/>
      <c r="AF221" s="102"/>
      <c r="AG221" s="102"/>
      <c r="AH221" s="17">
        <v>150000000</v>
      </c>
    </row>
    <row r="222" spans="1:34" ht="28.5">
      <c r="A222" s="40"/>
      <c r="B222" s="40"/>
      <c r="C222" s="42"/>
      <c r="D222" s="42"/>
      <c r="E222" s="42"/>
      <c r="F222" s="42"/>
      <c r="G222" s="42"/>
      <c r="H222" s="42"/>
      <c r="I222" s="39" t="s">
        <v>749</v>
      </c>
      <c r="J222" s="39" t="s">
        <v>973</v>
      </c>
      <c r="K222" s="39">
        <v>0</v>
      </c>
      <c r="L222" s="39">
        <v>16</v>
      </c>
      <c r="M222" s="39" t="s">
        <v>627</v>
      </c>
      <c r="N222" s="39">
        <v>0</v>
      </c>
      <c r="O222" s="39">
        <v>4</v>
      </c>
      <c r="P222" s="39">
        <v>8</v>
      </c>
      <c r="Q222" s="39">
        <v>16</v>
      </c>
      <c r="R222" s="39"/>
      <c r="S222" s="39" t="s">
        <v>292</v>
      </c>
      <c r="T222" s="29"/>
      <c r="U222" s="29">
        <v>400000000</v>
      </c>
      <c r="V222" s="29"/>
      <c r="W222" s="29"/>
      <c r="X222" s="29"/>
      <c r="Y222" s="29"/>
      <c r="Z222" s="29">
        <f t="shared" si="3"/>
        <v>400000000</v>
      </c>
      <c r="AA222" s="48"/>
      <c r="AB222" s="39" t="s">
        <v>492</v>
      </c>
      <c r="AC222" s="39"/>
      <c r="AD222" s="39"/>
      <c r="AE222" s="39"/>
      <c r="AF222" s="102"/>
      <c r="AG222" s="102"/>
      <c r="AH222" s="17">
        <v>200000000</v>
      </c>
    </row>
    <row r="223" spans="1:34" ht="28.5">
      <c r="A223" s="40"/>
      <c r="B223" s="40"/>
      <c r="C223" s="42"/>
      <c r="D223" s="42"/>
      <c r="E223" s="42"/>
      <c r="F223" s="42"/>
      <c r="G223" s="42"/>
      <c r="H223" s="42"/>
      <c r="I223" s="39" t="s">
        <v>750</v>
      </c>
      <c r="J223" s="39" t="s">
        <v>974</v>
      </c>
      <c r="K223" s="39">
        <v>259</v>
      </c>
      <c r="L223" s="39">
        <v>259</v>
      </c>
      <c r="M223" s="39" t="s">
        <v>628</v>
      </c>
      <c r="N223" s="39">
        <v>259</v>
      </c>
      <c r="O223" s="39">
        <v>259</v>
      </c>
      <c r="P223" s="39">
        <v>259</v>
      </c>
      <c r="Q223" s="39">
        <v>259</v>
      </c>
      <c r="R223" s="39"/>
      <c r="S223" s="39" t="s">
        <v>44</v>
      </c>
      <c r="T223" s="29">
        <f>3800000000+3712000000</f>
        <v>7512000000</v>
      </c>
      <c r="U223" s="29"/>
      <c r="V223" s="29"/>
      <c r="W223" s="29"/>
      <c r="X223" s="29"/>
      <c r="Y223" s="29">
        <v>96677580</v>
      </c>
      <c r="Z223" s="29">
        <f t="shared" si="3"/>
        <v>7608677580</v>
      </c>
      <c r="AA223" s="49"/>
      <c r="AB223" s="39" t="s">
        <v>521</v>
      </c>
      <c r="AC223" s="39"/>
      <c r="AD223" s="39"/>
      <c r="AE223" s="39"/>
      <c r="AF223" s="102"/>
      <c r="AG223" s="102"/>
      <c r="AH223" s="17">
        <v>400000000</v>
      </c>
    </row>
    <row r="224" spans="1:34" ht="409.5">
      <c r="A224" s="40"/>
      <c r="B224" s="40"/>
      <c r="C224" s="42"/>
      <c r="D224" s="42"/>
      <c r="E224" s="42"/>
      <c r="F224" s="42"/>
      <c r="G224" s="42"/>
      <c r="H224" s="42" t="s">
        <v>736</v>
      </c>
      <c r="I224" s="42" t="s">
        <v>751</v>
      </c>
      <c r="J224" s="33" t="s">
        <v>975</v>
      </c>
      <c r="K224" s="33">
        <v>0</v>
      </c>
      <c r="L224" s="33">
        <v>1</v>
      </c>
      <c r="M224" s="39" t="s">
        <v>627</v>
      </c>
      <c r="N224" s="39">
        <v>0</v>
      </c>
      <c r="O224" s="39">
        <v>0.5</v>
      </c>
      <c r="P224" s="39">
        <v>0.75</v>
      </c>
      <c r="Q224" s="39">
        <v>1</v>
      </c>
      <c r="R224" s="39">
        <v>0.3</v>
      </c>
      <c r="S224" s="33" t="s">
        <v>293</v>
      </c>
      <c r="T224" s="29">
        <f>(635000000*0.8)*4</f>
        <v>2032000000</v>
      </c>
      <c r="U224" s="29"/>
      <c r="V224" s="29"/>
      <c r="W224" s="29"/>
      <c r="X224" s="29"/>
      <c r="Y224" s="29"/>
      <c r="Z224" s="29">
        <f t="shared" si="3"/>
        <v>2032000000</v>
      </c>
      <c r="AA224" s="47" t="s">
        <v>753</v>
      </c>
      <c r="AB224" s="39" t="s">
        <v>456</v>
      </c>
      <c r="AC224" s="91" t="s">
        <v>1188</v>
      </c>
      <c r="AD224" s="33" t="s">
        <v>1189</v>
      </c>
      <c r="AE224" s="33"/>
      <c r="AF224" s="102">
        <v>662615000</v>
      </c>
      <c r="AG224" s="102">
        <v>655017000</v>
      </c>
      <c r="AH224" s="17">
        <v>300000000</v>
      </c>
    </row>
    <row r="225" spans="1:34" ht="201">
      <c r="A225" s="40"/>
      <c r="B225" s="40"/>
      <c r="C225" s="42"/>
      <c r="D225" s="42"/>
      <c r="E225" s="42"/>
      <c r="F225" s="42"/>
      <c r="G225" s="42"/>
      <c r="H225" s="42"/>
      <c r="I225" s="42"/>
      <c r="J225" s="33" t="s">
        <v>976</v>
      </c>
      <c r="K225" s="33">
        <v>0</v>
      </c>
      <c r="L225" s="33">
        <v>1</v>
      </c>
      <c r="M225" s="39" t="s">
        <v>627</v>
      </c>
      <c r="N225" s="39">
        <v>0</v>
      </c>
      <c r="O225" s="39">
        <v>0.5</v>
      </c>
      <c r="P225" s="39">
        <v>0.75</v>
      </c>
      <c r="Q225" s="39">
        <v>1</v>
      </c>
      <c r="R225" s="39">
        <v>0.1</v>
      </c>
      <c r="S225" s="33" t="s">
        <v>293</v>
      </c>
      <c r="T225" s="29">
        <f>+(635000000*0.2)*4</f>
        <v>508000000</v>
      </c>
      <c r="U225" s="29"/>
      <c r="V225" s="29"/>
      <c r="W225" s="29"/>
      <c r="X225" s="29"/>
      <c r="Y225" s="29"/>
      <c r="Z225" s="29">
        <f t="shared" si="3"/>
        <v>508000000</v>
      </c>
      <c r="AA225" s="49"/>
      <c r="AB225" s="39" t="s">
        <v>457</v>
      </c>
      <c r="AC225" s="91" t="s">
        <v>1190</v>
      </c>
      <c r="AD225" s="33" t="s">
        <v>1191</v>
      </c>
      <c r="AE225" s="33"/>
      <c r="AF225" s="102">
        <v>0</v>
      </c>
      <c r="AG225" s="102">
        <v>0</v>
      </c>
      <c r="AH225" s="17">
        <v>700000000</v>
      </c>
    </row>
    <row r="226" spans="1:34">
      <c r="A226" s="40"/>
      <c r="B226" s="40" t="s">
        <v>7</v>
      </c>
      <c r="C226" s="42" t="s">
        <v>60</v>
      </c>
      <c r="D226" s="42" t="s">
        <v>166</v>
      </c>
      <c r="E226" s="42" t="s">
        <v>189</v>
      </c>
      <c r="F226" s="43" t="s">
        <v>162</v>
      </c>
      <c r="G226" s="42" t="s">
        <v>274</v>
      </c>
      <c r="H226" s="42" t="s">
        <v>198</v>
      </c>
      <c r="I226" s="42" t="s">
        <v>754</v>
      </c>
      <c r="J226" s="39" t="s">
        <v>977</v>
      </c>
      <c r="K226" s="39">
        <v>0</v>
      </c>
      <c r="L226" s="39">
        <v>20</v>
      </c>
      <c r="M226" s="39" t="s">
        <v>627</v>
      </c>
      <c r="N226" s="39">
        <v>5</v>
      </c>
      <c r="O226" s="39">
        <v>10</v>
      </c>
      <c r="P226" s="39">
        <v>15</v>
      </c>
      <c r="Q226" s="39">
        <v>20</v>
      </c>
      <c r="R226" s="39"/>
      <c r="S226" s="39" t="s">
        <v>292</v>
      </c>
      <c r="T226" s="41">
        <v>3100000000</v>
      </c>
      <c r="U226" s="41"/>
      <c r="V226" s="41"/>
      <c r="W226" s="41"/>
      <c r="X226" s="41">
        <v>2000000000</v>
      </c>
      <c r="Y226" s="41">
        <f>683618265+480806923+117079391+5992873077+4714341517+1964325834</f>
        <v>13953045007</v>
      </c>
      <c r="Z226" s="41">
        <f t="shared" si="3"/>
        <v>19053045007</v>
      </c>
      <c r="AA226" s="47" t="s">
        <v>304</v>
      </c>
      <c r="AB226" s="39" t="s">
        <v>493</v>
      </c>
      <c r="AC226" s="39"/>
      <c r="AD226" s="39"/>
      <c r="AE226" s="39"/>
      <c r="AF226" s="102"/>
      <c r="AG226" s="102"/>
      <c r="AH226" s="17">
        <v>304000000</v>
      </c>
    </row>
    <row r="227" spans="1:34" ht="28.5">
      <c r="A227" s="40"/>
      <c r="B227" s="40"/>
      <c r="C227" s="42"/>
      <c r="D227" s="42"/>
      <c r="E227" s="42"/>
      <c r="F227" s="43"/>
      <c r="G227" s="42"/>
      <c r="H227" s="42"/>
      <c r="I227" s="42"/>
      <c r="J227" s="39" t="s">
        <v>978</v>
      </c>
      <c r="K227" s="33">
        <v>0</v>
      </c>
      <c r="L227" s="39">
        <v>1</v>
      </c>
      <c r="M227" s="39" t="s">
        <v>627</v>
      </c>
      <c r="N227" s="39">
        <v>0</v>
      </c>
      <c r="O227" s="39">
        <v>0.5</v>
      </c>
      <c r="P227" s="39">
        <v>0.75</v>
      </c>
      <c r="Q227" s="39">
        <v>1</v>
      </c>
      <c r="R227" s="78"/>
      <c r="S227" s="39" t="s">
        <v>291</v>
      </c>
      <c r="T227" s="41"/>
      <c r="U227" s="41"/>
      <c r="V227" s="41"/>
      <c r="W227" s="41"/>
      <c r="X227" s="41"/>
      <c r="Y227" s="41"/>
      <c r="Z227" s="41">
        <f t="shared" si="3"/>
        <v>0</v>
      </c>
      <c r="AA227" s="48"/>
      <c r="AB227" s="39" t="s">
        <v>481</v>
      </c>
      <c r="AC227" s="39"/>
      <c r="AD227" s="39"/>
      <c r="AE227" s="39"/>
      <c r="AF227" s="102"/>
      <c r="AG227" s="102"/>
      <c r="AH227" s="17">
        <v>300000000</v>
      </c>
    </row>
    <row r="228" spans="1:34" ht="28.5">
      <c r="A228" s="40"/>
      <c r="B228" s="40"/>
      <c r="C228" s="42"/>
      <c r="D228" s="42"/>
      <c r="E228" s="42"/>
      <c r="F228" s="43"/>
      <c r="G228" s="42"/>
      <c r="H228" s="42"/>
      <c r="I228" s="42"/>
      <c r="J228" s="39" t="s">
        <v>621</v>
      </c>
      <c r="K228" s="39">
        <v>4</v>
      </c>
      <c r="L228" s="39">
        <v>8</v>
      </c>
      <c r="M228" s="39" t="s">
        <v>627</v>
      </c>
      <c r="N228" s="39">
        <v>1</v>
      </c>
      <c r="O228" s="39">
        <v>2</v>
      </c>
      <c r="P228" s="39">
        <v>3</v>
      </c>
      <c r="Q228" s="39">
        <v>4</v>
      </c>
      <c r="R228" s="39"/>
      <c r="S228" s="39" t="s">
        <v>41</v>
      </c>
      <c r="T228" s="29"/>
      <c r="U228" s="29">
        <v>52000000</v>
      </c>
      <c r="V228" s="29"/>
      <c r="W228" s="29"/>
      <c r="X228" s="29"/>
      <c r="Y228" s="29"/>
      <c r="Z228" s="29">
        <f t="shared" si="3"/>
        <v>52000000</v>
      </c>
      <c r="AA228" s="48"/>
      <c r="AB228" s="39" t="s">
        <v>450</v>
      </c>
      <c r="AC228" s="39" t="s">
        <v>1272</v>
      </c>
      <c r="AD228" s="39"/>
      <c r="AE228" s="39"/>
      <c r="AF228" s="102">
        <v>51117455</v>
      </c>
      <c r="AG228" s="102"/>
      <c r="AH228" s="17">
        <v>43413148</v>
      </c>
    </row>
    <row r="229" spans="1:34" ht="28.5">
      <c r="A229" s="40"/>
      <c r="B229" s="40"/>
      <c r="C229" s="42"/>
      <c r="D229" s="42"/>
      <c r="E229" s="42"/>
      <c r="F229" s="43"/>
      <c r="G229" s="42"/>
      <c r="H229" s="42"/>
      <c r="I229" s="42"/>
      <c r="J229" s="39" t="s">
        <v>979</v>
      </c>
      <c r="K229" s="39">
        <v>0</v>
      </c>
      <c r="L229" s="39">
        <v>2</v>
      </c>
      <c r="M229" s="39" t="s">
        <v>627</v>
      </c>
      <c r="N229" s="39">
        <v>0</v>
      </c>
      <c r="O229" s="39">
        <v>2</v>
      </c>
      <c r="P229" s="39">
        <v>0</v>
      </c>
      <c r="Q229" s="39">
        <v>0</v>
      </c>
      <c r="R229" s="39"/>
      <c r="S229" s="39" t="s">
        <v>287</v>
      </c>
      <c r="T229" s="29">
        <v>900000000</v>
      </c>
      <c r="U229" s="29"/>
      <c r="V229" s="29"/>
      <c r="W229" s="29"/>
      <c r="X229" s="29"/>
      <c r="Y229" s="29"/>
      <c r="Z229" s="29">
        <f t="shared" si="3"/>
        <v>900000000</v>
      </c>
      <c r="AA229" s="48"/>
      <c r="AB229" s="39" t="s">
        <v>502</v>
      </c>
      <c r="AC229" s="39"/>
      <c r="AD229" s="39"/>
      <c r="AE229" s="39"/>
      <c r="AF229" s="102"/>
      <c r="AG229" s="102"/>
      <c r="AH229" s="17">
        <v>100000000</v>
      </c>
    </row>
    <row r="230" spans="1:34">
      <c r="A230" s="40"/>
      <c r="B230" s="40"/>
      <c r="C230" s="42"/>
      <c r="D230" s="42"/>
      <c r="E230" s="42"/>
      <c r="F230" s="43"/>
      <c r="G230" s="42"/>
      <c r="H230" s="42"/>
      <c r="I230" s="39" t="s">
        <v>755</v>
      </c>
      <c r="J230" s="39" t="s">
        <v>980</v>
      </c>
      <c r="K230" s="39">
        <v>0</v>
      </c>
      <c r="L230" s="39">
        <v>1</v>
      </c>
      <c r="M230" s="39" t="s">
        <v>627</v>
      </c>
      <c r="N230" s="39">
        <v>0</v>
      </c>
      <c r="O230" s="39">
        <v>1</v>
      </c>
      <c r="P230" s="39">
        <v>0</v>
      </c>
      <c r="Q230" s="39">
        <v>0</v>
      </c>
      <c r="R230" s="39"/>
      <c r="S230" s="39" t="s">
        <v>292</v>
      </c>
      <c r="T230" s="29">
        <v>200000000</v>
      </c>
      <c r="U230" s="29"/>
      <c r="V230" s="29"/>
      <c r="W230" s="29"/>
      <c r="X230" s="29"/>
      <c r="Y230" s="29"/>
      <c r="Z230" s="29">
        <f t="shared" si="3"/>
        <v>200000000</v>
      </c>
      <c r="AA230" s="48"/>
      <c r="AB230" s="39" t="s">
        <v>494</v>
      </c>
      <c r="AC230" s="39"/>
      <c r="AD230" s="39"/>
      <c r="AE230" s="39"/>
      <c r="AF230" s="102"/>
      <c r="AG230" s="102"/>
      <c r="AH230" s="17">
        <v>30000000</v>
      </c>
    </row>
    <row r="231" spans="1:34" ht="28.5">
      <c r="A231" s="40"/>
      <c r="B231" s="40"/>
      <c r="C231" s="42"/>
      <c r="D231" s="42"/>
      <c r="E231" s="42"/>
      <c r="F231" s="43"/>
      <c r="G231" s="42"/>
      <c r="H231" s="42"/>
      <c r="I231" s="39" t="s">
        <v>756</v>
      </c>
      <c r="J231" s="39" t="s">
        <v>620</v>
      </c>
      <c r="K231" s="39">
        <v>0</v>
      </c>
      <c r="L231" s="39">
        <v>7</v>
      </c>
      <c r="M231" s="39" t="s">
        <v>627</v>
      </c>
      <c r="N231" s="39">
        <v>2</v>
      </c>
      <c r="O231" s="39">
        <v>4</v>
      </c>
      <c r="P231" s="39">
        <v>6</v>
      </c>
      <c r="Q231" s="39">
        <v>7</v>
      </c>
      <c r="R231" s="39"/>
      <c r="S231" s="32" t="s">
        <v>41</v>
      </c>
      <c r="T231" s="29">
        <v>2320000000</v>
      </c>
      <c r="U231" s="29">
        <v>2000000000</v>
      </c>
      <c r="V231" s="29"/>
      <c r="W231" s="29"/>
      <c r="X231" s="29"/>
      <c r="Y231" s="29">
        <f>5190125639+2852144357</f>
        <v>8042269996</v>
      </c>
      <c r="Z231" s="29">
        <f t="shared" si="3"/>
        <v>12362269996</v>
      </c>
      <c r="AA231" s="49"/>
      <c r="AB231" s="39" t="s">
        <v>451</v>
      </c>
      <c r="AC231" s="39" t="s">
        <v>1273</v>
      </c>
      <c r="AD231" s="39" t="s">
        <v>1274</v>
      </c>
      <c r="AE231" s="39" t="s">
        <v>1275</v>
      </c>
      <c r="AF231" s="102">
        <v>6878256415.8000002</v>
      </c>
      <c r="AG231" s="102">
        <v>1826247438</v>
      </c>
      <c r="AH231" s="17">
        <v>1000000000</v>
      </c>
    </row>
    <row r="232" spans="1:34" ht="185.25">
      <c r="A232" s="40"/>
      <c r="B232" s="40" t="s">
        <v>42</v>
      </c>
      <c r="C232" s="42" t="s">
        <v>579</v>
      </c>
      <c r="D232" s="42" t="s">
        <v>599</v>
      </c>
      <c r="E232" s="42" t="s">
        <v>608</v>
      </c>
      <c r="F232" s="43" t="s">
        <v>167</v>
      </c>
      <c r="G232" s="42" t="s">
        <v>168</v>
      </c>
      <c r="H232" s="42" t="s">
        <v>169</v>
      </c>
      <c r="I232" s="39" t="s">
        <v>757</v>
      </c>
      <c r="J232" s="39" t="s">
        <v>981</v>
      </c>
      <c r="K232" s="39">
        <v>0</v>
      </c>
      <c r="L232" s="39">
        <v>1</v>
      </c>
      <c r="M232" s="39" t="s">
        <v>627</v>
      </c>
      <c r="N232" s="39">
        <v>0.25</v>
      </c>
      <c r="O232" s="39">
        <v>0.5</v>
      </c>
      <c r="P232" s="39">
        <v>0.75</v>
      </c>
      <c r="Q232" s="39">
        <v>1</v>
      </c>
      <c r="R232" s="39">
        <v>0.25</v>
      </c>
      <c r="S232" s="39" t="s">
        <v>284</v>
      </c>
      <c r="T232" s="29"/>
      <c r="U232" s="29"/>
      <c r="V232" s="29"/>
      <c r="W232" s="29"/>
      <c r="X232" s="29">
        <v>2000000000</v>
      </c>
      <c r="Y232" s="29"/>
      <c r="Z232" s="29">
        <f t="shared" si="3"/>
        <v>2000000000</v>
      </c>
      <c r="AA232" s="47" t="s">
        <v>306</v>
      </c>
      <c r="AB232" s="39" t="s">
        <v>406</v>
      </c>
      <c r="AC232" s="39" t="s">
        <v>1280</v>
      </c>
      <c r="AD232" s="39" t="s">
        <v>1281</v>
      </c>
      <c r="AE232" s="86" t="s">
        <v>1282</v>
      </c>
      <c r="AF232" s="102">
        <v>4640602253</v>
      </c>
      <c r="AG232" s="102">
        <v>3349276490</v>
      </c>
      <c r="AH232" s="17">
        <v>450000000</v>
      </c>
    </row>
    <row r="233" spans="1:34" ht="42.75">
      <c r="A233" s="40"/>
      <c r="B233" s="40"/>
      <c r="C233" s="42"/>
      <c r="D233" s="42"/>
      <c r="E233" s="42"/>
      <c r="F233" s="43"/>
      <c r="G233" s="42"/>
      <c r="H233" s="42"/>
      <c r="I233" s="42" t="s">
        <v>758</v>
      </c>
      <c r="J233" s="39" t="s">
        <v>982</v>
      </c>
      <c r="K233" s="39">
        <v>0</v>
      </c>
      <c r="L233" s="39">
        <v>1</v>
      </c>
      <c r="M233" s="39" t="s">
        <v>627</v>
      </c>
      <c r="N233" s="39">
        <v>0.25</v>
      </c>
      <c r="O233" s="39">
        <v>0.5</v>
      </c>
      <c r="P233" s="39">
        <v>0.75</v>
      </c>
      <c r="Q233" s="39">
        <v>1</v>
      </c>
      <c r="R233" s="39">
        <v>0.25</v>
      </c>
      <c r="S233" s="39" t="s">
        <v>284</v>
      </c>
      <c r="T233" s="41">
        <v>2200000000</v>
      </c>
      <c r="U233" s="41"/>
      <c r="V233" s="41"/>
      <c r="W233" s="41"/>
      <c r="X233" s="41"/>
      <c r="Y233" s="41"/>
      <c r="Z233" s="41">
        <f t="shared" si="3"/>
        <v>2200000000</v>
      </c>
      <c r="AA233" s="48"/>
      <c r="AB233" s="39" t="s">
        <v>393</v>
      </c>
      <c r="AC233" s="39"/>
      <c r="AD233" s="39" t="s">
        <v>1283</v>
      </c>
      <c r="AE233" s="39"/>
      <c r="AF233" s="102"/>
      <c r="AG233" s="102"/>
      <c r="AH233" s="17">
        <v>100000000</v>
      </c>
    </row>
    <row r="234" spans="1:34" ht="242.25">
      <c r="A234" s="40"/>
      <c r="B234" s="40"/>
      <c r="C234" s="42"/>
      <c r="D234" s="42"/>
      <c r="E234" s="42"/>
      <c r="F234" s="43"/>
      <c r="G234" s="42"/>
      <c r="H234" s="42"/>
      <c r="I234" s="42"/>
      <c r="J234" s="39" t="s">
        <v>983</v>
      </c>
      <c r="K234" s="39">
        <v>0</v>
      </c>
      <c r="L234" s="39">
        <v>4000</v>
      </c>
      <c r="M234" s="39" t="s">
        <v>627</v>
      </c>
      <c r="N234" s="39">
        <v>1000</v>
      </c>
      <c r="O234" s="39">
        <v>2000</v>
      </c>
      <c r="P234" s="39">
        <v>3000</v>
      </c>
      <c r="Q234" s="39">
        <v>4000</v>
      </c>
      <c r="R234" s="39">
        <v>4000</v>
      </c>
      <c r="S234" s="39" t="s">
        <v>284</v>
      </c>
      <c r="T234" s="41"/>
      <c r="U234" s="41"/>
      <c r="V234" s="41"/>
      <c r="W234" s="41"/>
      <c r="X234" s="41"/>
      <c r="Y234" s="41"/>
      <c r="Z234" s="41">
        <f t="shared" si="3"/>
        <v>0</v>
      </c>
      <c r="AA234" s="48"/>
      <c r="AB234" s="39" t="s">
        <v>394</v>
      </c>
      <c r="AC234" s="39" t="s">
        <v>1284</v>
      </c>
      <c r="AD234" s="39" t="s">
        <v>1285</v>
      </c>
      <c r="AE234" s="86" t="s">
        <v>1286</v>
      </c>
      <c r="AF234" s="102">
        <v>262095060</v>
      </c>
      <c r="AG234" s="102">
        <v>262095060</v>
      </c>
      <c r="AH234" s="17">
        <v>100000000</v>
      </c>
    </row>
    <row r="235" spans="1:34" ht="99.75">
      <c r="A235" s="40"/>
      <c r="B235" s="40"/>
      <c r="C235" s="42"/>
      <c r="D235" s="42"/>
      <c r="E235" s="42"/>
      <c r="F235" s="43"/>
      <c r="G235" s="42"/>
      <c r="H235" s="42"/>
      <c r="I235" s="42" t="s">
        <v>759</v>
      </c>
      <c r="J235" s="39" t="s">
        <v>984</v>
      </c>
      <c r="K235" s="39">
        <v>0</v>
      </c>
      <c r="L235" s="39">
        <v>30</v>
      </c>
      <c r="M235" s="39" t="s">
        <v>627</v>
      </c>
      <c r="N235" s="39">
        <v>0</v>
      </c>
      <c r="O235" s="39">
        <v>10</v>
      </c>
      <c r="P235" s="39">
        <v>20</v>
      </c>
      <c r="Q235" s="39">
        <v>30</v>
      </c>
      <c r="R235" s="39">
        <v>6</v>
      </c>
      <c r="S235" s="39" t="s">
        <v>284</v>
      </c>
      <c r="T235" s="29">
        <v>1000000000</v>
      </c>
      <c r="U235" s="29"/>
      <c r="V235" s="29"/>
      <c r="W235" s="29"/>
      <c r="X235" s="29"/>
      <c r="Y235" s="29"/>
      <c r="Z235" s="29">
        <f t="shared" si="3"/>
        <v>1000000000</v>
      </c>
      <c r="AA235" s="48"/>
      <c r="AB235" s="39" t="s">
        <v>390</v>
      </c>
      <c r="AC235" s="39" t="s">
        <v>1287</v>
      </c>
      <c r="AD235" s="39" t="s">
        <v>1288</v>
      </c>
      <c r="AE235" s="86"/>
      <c r="AF235" s="102">
        <v>279968900</v>
      </c>
      <c r="AG235" s="102">
        <v>279968900</v>
      </c>
      <c r="AH235" s="17">
        <v>108358130</v>
      </c>
    </row>
    <row r="236" spans="1:34" ht="28.5">
      <c r="A236" s="40"/>
      <c r="B236" s="40"/>
      <c r="C236" s="42"/>
      <c r="D236" s="42"/>
      <c r="E236" s="42"/>
      <c r="F236" s="43"/>
      <c r="G236" s="42"/>
      <c r="H236" s="42"/>
      <c r="I236" s="42"/>
      <c r="J236" s="39" t="s">
        <v>227</v>
      </c>
      <c r="K236" s="39">
        <v>30</v>
      </c>
      <c r="L236" s="39">
        <v>150</v>
      </c>
      <c r="M236" s="39" t="s">
        <v>627</v>
      </c>
      <c r="N236" s="39">
        <v>0</v>
      </c>
      <c r="O236" s="39">
        <v>60</v>
      </c>
      <c r="P236" s="39">
        <v>80</v>
      </c>
      <c r="Q236" s="39">
        <v>150</v>
      </c>
      <c r="R236" s="39"/>
      <c r="S236" s="39" t="s">
        <v>284</v>
      </c>
      <c r="T236" s="29"/>
      <c r="U236" s="29">
        <v>254945990</v>
      </c>
      <c r="V236" s="29"/>
      <c r="W236" s="29"/>
      <c r="X236" s="29"/>
      <c r="Y236" s="29">
        <v>1600000000</v>
      </c>
      <c r="Z236" s="29">
        <f t="shared" si="3"/>
        <v>1854945990</v>
      </c>
      <c r="AA236" s="48"/>
      <c r="AB236" s="39" t="s">
        <v>391</v>
      </c>
      <c r="AC236" s="39"/>
      <c r="AD236" s="39"/>
      <c r="AE236" s="86"/>
      <c r="AF236" s="102"/>
      <c r="AG236" s="102"/>
      <c r="AH236" s="17">
        <v>500000000</v>
      </c>
    </row>
    <row r="237" spans="1:34" ht="28.5">
      <c r="A237" s="40"/>
      <c r="B237" s="40"/>
      <c r="C237" s="42"/>
      <c r="D237" s="42"/>
      <c r="E237" s="42"/>
      <c r="F237" s="43"/>
      <c r="G237" s="42"/>
      <c r="H237" s="42"/>
      <c r="I237" s="42"/>
      <c r="J237" s="39" t="s">
        <v>985</v>
      </c>
      <c r="K237" s="39">
        <v>2</v>
      </c>
      <c r="L237" s="39">
        <v>5</v>
      </c>
      <c r="M237" s="39" t="s">
        <v>627</v>
      </c>
      <c r="N237" s="39">
        <v>0</v>
      </c>
      <c r="O237" s="39">
        <v>3</v>
      </c>
      <c r="P237" s="39">
        <v>4</v>
      </c>
      <c r="Q237" s="39">
        <v>5</v>
      </c>
      <c r="R237" s="39"/>
      <c r="S237" s="39" t="s">
        <v>284</v>
      </c>
      <c r="T237" s="41"/>
      <c r="U237" s="41"/>
      <c r="V237" s="41"/>
      <c r="W237" s="41"/>
      <c r="X237" s="41">
        <v>800000000</v>
      </c>
      <c r="Y237" s="41"/>
      <c r="Z237" s="41">
        <f t="shared" si="3"/>
        <v>800000000</v>
      </c>
      <c r="AA237" s="48"/>
      <c r="AB237" s="39" t="s">
        <v>392</v>
      </c>
      <c r="AC237" s="39"/>
      <c r="AD237" s="39"/>
      <c r="AE237" s="86"/>
      <c r="AF237" s="102">
        <v>0</v>
      </c>
      <c r="AG237" s="102">
        <v>0</v>
      </c>
      <c r="AH237" s="17">
        <v>100000000</v>
      </c>
    </row>
    <row r="238" spans="1:34" ht="114">
      <c r="A238" s="40"/>
      <c r="B238" s="40"/>
      <c r="C238" s="42"/>
      <c r="D238" s="42"/>
      <c r="E238" s="42"/>
      <c r="F238" s="43"/>
      <c r="G238" s="42"/>
      <c r="H238" s="42"/>
      <c r="I238" s="42"/>
      <c r="J238" s="39" t="s">
        <v>986</v>
      </c>
      <c r="K238" s="39">
        <v>0</v>
      </c>
      <c r="L238" s="39">
        <v>3</v>
      </c>
      <c r="M238" s="39" t="s">
        <v>627</v>
      </c>
      <c r="N238" s="39">
        <v>2</v>
      </c>
      <c r="O238" s="39">
        <v>3</v>
      </c>
      <c r="P238" s="39">
        <v>0</v>
      </c>
      <c r="Q238" s="39">
        <v>0</v>
      </c>
      <c r="R238" s="39">
        <v>2</v>
      </c>
      <c r="S238" s="39" t="s">
        <v>284</v>
      </c>
      <c r="T238" s="41"/>
      <c r="U238" s="41"/>
      <c r="V238" s="41"/>
      <c r="W238" s="41"/>
      <c r="X238" s="41"/>
      <c r="Y238" s="41"/>
      <c r="Z238" s="41">
        <f t="shared" si="3"/>
        <v>0</v>
      </c>
      <c r="AA238" s="48"/>
      <c r="AB238" s="39" t="s">
        <v>407</v>
      </c>
      <c r="AC238" s="39" t="s">
        <v>1289</v>
      </c>
      <c r="AD238" s="39" t="s">
        <v>1290</v>
      </c>
      <c r="AE238" s="39"/>
      <c r="AF238" s="102"/>
      <c r="AG238" s="102"/>
      <c r="AH238" s="17">
        <v>3000000</v>
      </c>
    </row>
    <row r="239" spans="1:34" ht="42.75">
      <c r="A239" s="40"/>
      <c r="B239" s="40"/>
      <c r="C239" s="42"/>
      <c r="D239" s="42"/>
      <c r="E239" s="42"/>
      <c r="F239" s="43"/>
      <c r="G239" s="42"/>
      <c r="H239" s="42"/>
      <c r="I239" s="42"/>
      <c r="J239" s="39" t="s">
        <v>987</v>
      </c>
      <c r="K239" s="39">
        <v>465</v>
      </c>
      <c r="L239" s="39">
        <v>565</v>
      </c>
      <c r="M239" s="39" t="s">
        <v>627</v>
      </c>
      <c r="N239" s="39">
        <v>480</v>
      </c>
      <c r="O239" s="39">
        <v>500</v>
      </c>
      <c r="P239" s="39">
        <v>550</v>
      </c>
      <c r="Q239" s="39">
        <v>565</v>
      </c>
      <c r="R239" s="39">
        <f>+K239+49</f>
        <v>514</v>
      </c>
      <c r="S239" s="39" t="s">
        <v>284</v>
      </c>
      <c r="T239" s="29">
        <v>1794810000</v>
      </c>
      <c r="U239" s="29"/>
      <c r="V239" s="29"/>
      <c r="W239" s="29"/>
      <c r="X239" s="29"/>
      <c r="Y239" s="29">
        <f>205190000+2573846914</f>
        <v>2779036914</v>
      </c>
      <c r="Z239" s="29">
        <f t="shared" si="3"/>
        <v>4573846914</v>
      </c>
      <c r="AA239" s="48"/>
      <c r="AB239" s="39" t="s">
        <v>395</v>
      </c>
      <c r="AC239" s="39" t="s">
        <v>1291</v>
      </c>
      <c r="AD239" s="39" t="s">
        <v>1292</v>
      </c>
      <c r="AE239" s="86"/>
      <c r="AF239" s="102">
        <v>0</v>
      </c>
      <c r="AG239" s="102">
        <v>0</v>
      </c>
      <c r="AH239" s="17">
        <v>1214120003</v>
      </c>
    </row>
    <row r="240" spans="1:34" ht="28.5">
      <c r="A240" s="40"/>
      <c r="B240" s="40"/>
      <c r="C240" s="42"/>
      <c r="D240" s="42"/>
      <c r="E240" s="42"/>
      <c r="F240" s="43"/>
      <c r="G240" s="42"/>
      <c r="H240" s="42"/>
      <c r="I240" s="42"/>
      <c r="J240" s="39" t="s">
        <v>988</v>
      </c>
      <c r="K240" s="39">
        <v>137</v>
      </c>
      <c r="L240" s="39">
        <v>237</v>
      </c>
      <c r="M240" s="39" t="s">
        <v>627</v>
      </c>
      <c r="N240" s="39">
        <f>+K240+25</f>
        <v>162</v>
      </c>
      <c r="O240" s="39">
        <f>+N240+25</f>
        <v>187</v>
      </c>
      <c r="P240" s="39">
        <f>+O240+25</f>
        <v>212</v>
      </c>
      <c r="Q240" s="39">
        <f>+P240+25</f>
        <v>237</v>
      </c>
      <c r="R240" s="39">
        <f>+K240+62</f>
        <v>199</v>
      </c>
      <c r="S240" s="39" t="s">
        <v>284</v>
      </c>
      <c r="T240" s="29">
        <v>700000000</v>
      </c>
      <c r="U240" s="29"/>
      <c r="V240" s="29"/>
      <c r="W240" s="29"/>
      <c r="X240" s="29"/>
      <c r="Y240" s="29">
        <v>900000000</v>
      </c>
      <c r="Z240" s="29">
        <f t="shared" si="3"/>
        <v>1600000000</v>
      </c>
      <c r="AA240" s="48"/>
      <c r="AB240" s="39" t="s">
        <v>396</v>
      </c>
      <c r="AC240" s="39" t="s">
        <v>1293</v>
      </c>
      <c r="AD240" s="39" t="s">
        <v>1294</v>
      </c>
      <c r="AE240" s="86"/>
      <c r="AF240" s="102">
        <v>950000000</v>
      </c>
      <c r="AG240" s="102">
        <v>950000000</v>
      </c>
      <c r="AH240" s="17">
        <v>200000000</v>
      </c>
    </row>
    <row r="241" spans="1:34" ht="28.5">
      <c r="A241" s="40"/>
      <c r="B241" s="40"/>
      <c r="C241" s="42"/>
      <c r="D241" s="42"/>
      <c r="E241" s="42"/>
      <c r="F241" s="43"/>
      <c r="G241" s="42"/>
      <c r="H241" s="42"/>
      <c r="I241" s="42"/>
      <c r="J241" s="39" t="s">
        <v>989</v>
      </c>
      <c r="K241" s="39">
        <v>3</v>
      </c>
      <c r="L241" s="39">
        <v>10</v>
      </c>
      <c r="M241" s="39" t="s">
        <v>627</v>
      </c>
      <c r="N241" s="39">
        <v>5</v>
      </c>
      <c r="O241" s="39">
        <v>8</v>
      </c>
      <c r="P241" s="39">
        <v>10</v>
      </c>
      <c r="Q241" s="39">
        <v>0</v>
      </c>
      <c r="R241" s="39"/>
      <c r="S241" s="39" t="s">
        <v>284</v>
      </c>
      <c r="T241" s="29">
        <v>20000000</v>
      </c>
      <c r="U241" s="29"/>
      <c r="V241" s="29"/>
      <c r="W241" s="29"/>
      <c r="X241" s="29"/>
      <c r="Y241" s="29"/>
      <c r="Z241" s="29">
        <f t="shared" si="3"/>
        <v>20000000</v>
      </c>
      <c r="AA241" s="48"/>
      <c r="AB241" s="39" t="s">
        <v>397</v>
      </c>
      <c r="AC241" s="39"/>
      <c r="AD241" s="39"/>
      <c r="AE241" s="39"/>
      <c r="AF241" s="102"/>
      <c r="AG241" s="102"/>
      <c r="AH241" s="17">
        <v>60000000</v>
      </c>
    </row>
    <row r="242" spans="1:34">
      <c r="A242" s="40"/>
      <c r="B242" s="40"/>
      <c r="C242" s="42"/>
      <c r="D242" s="42"/>
      <c r="E242" s="42"/>
      <c r="F242" s="43"/>
      <c r="G242" s="42"/>
      <c r="H242" s="42"/>
      <c r="I242" s="42" t="s">
        <v>760</v>
      </c>
      <c r="J242" s="39" t="s">
        <v>990</v>
      </c>
      <c r="K242" s="39">
        <v>0</v>
      </c>
      <c r="L242" s="39">
        <v>1</v>
      </c>
      <c r="M242" s="39" t="s">
        <v>627</v>
      </c>
      <c r="N242" s="39">
        <v>0.25</v>
      </c>
      <c r="O242" s="39">
        <v>0.5</v>
      </c>
      <c r="P242" s="39">
        <v>0.75</v>
      </c>
      <c r="Q242" s="39">
        <v>1</v>
      </c>
      <c r="R242" s="39"/>
      <c r="S242" s="39" t="s">
        <v>44</v>
      </c>
      <c r="T242" s="29">
        <v>300000000</v>
      </c>
      <c r="U242" s="29"/>
      <c r="V242" s="29"/>
      <c r="W242" s="29"/>
      <c r="X242" s="29"/>
      <c r="Y242" s="29"/>
      <c r="Z242" s="29">
        <f t="shared" si="3"/>
        <v>300000000</v>
      </c>
      <c r="AA242" s="48"/>
      <c r="AB242" s="39" t="s">
        <v>507</v>
      </c>
      <c r="AC242" s="39"/>
      <c r="AD242" s="39"/>
      <c r="AE242" s="39"/>
      <c r="AF242" s="102"/>
      <c r="AG242" s="102"/>
      <c r="AH242" s="17">
        <v>1000000</v>
      </c>
    </row>
    <row r="243" spans="1:34" ht="28.5">
      <c r="A243" s="40"/>
      <c r="B243" s="40"/>
      <c r="C243" s="42"/>
      <c r="D243" s="42"/>
      <c r="E243" s="42"/>
      <c r="F243" s="43"/>
      <c r="G243" s="42"/>
      <c r="H243" s="42"/>
      <c r="I243" s="42"/>
      <c r="J243" s="39" t="s">
        <v>991</v>
      </c>
      <c r="K243" s="34">
        <v>1</v>
      </c>
      <c r="L243" s="34">
        <v>1</v>
      </c>
      <c r="M243" s="39" t="s">
        <v>628</v>
      </c>
      <c r="N243" s="34">
        <v>1</v>
      </c>
      <c r="O243" s="34">
        <v>1</v>
      </c>
      <c r="P243" s="34">
        <v>1</v>
      </c>
      <c r="Q243" s="34">
        <v>1</v>
      </c>
      <c r="R243" s="34">
        <v>1</v>
      </c>
      <c r="S243" s="39" t="s">
        <v>284</v>
      </c>
      <c r="T243" s="41">
        <v>1400000000</v>
      </c>
      <c r="U243" s="41"/>
      <c r="V243" s="41"/>
      <c r="W243" s="41"/>
      <c r="X243" s="41"/>
      <c r="Y243" s="41">
        <v>331537323</v>
      </c>
      <c r="Z243" s="41">
        <f t="shared" si="3"/>
        <v>1731537323</v>
      </c>
      <c r="AA243" s="48"/>
      <c r="AB243" s="39" t="s">
        <v>398</v>
      </c>
      <c r="AC243" s="39" t="s">
        <v>1307</v>
      </c>
      <c r="AD243" s="39" t="s">
        <v>1308</v>
      </c>
      <c r="AE243" s="86"/>
      <c r="AF243" s="102">
        <v>0</v>
      </c>
      <c r="AG243" s="102">
        <v>0</v>
      </c>
      <c r="AH243" s="17">
        <v>60000000</v>
      </c>
    </row>
    <row r="244" spans="1:34" ht="28.5">
      <c r="A244" s="40"/>
      <c r="B244" s="40"/>
      <c r="C244" s="42"/>
      <c r="D244" s="42"/>
      <c r="E244" s="42"/>
      <c r="F244" s="43"/>
      <c r="G244" s="42"/>
      <c r="H244" s="42"/>
      <c r="I244" s="42"/>
      <c r="J244" s="39" t="s">
        <v>992</v>
      </c>
      <c r="K244" s="34">
        <v>1</v>
      </c>
      <c r="L244" s="34">
        <v>1</v>
      </c>
      <c r="M244" s="39" t="s">
        <v>628</v>
      </c>
      <c r="N244" s="34">
        <v>1</v>
      </c>
      <c r="O244" s="34">
        <v>1</v>
      </c>
      <c r="P244" s="34">
        <v>1</v>
      </c>
      <c r="Q244" s="34">
        <v>1</v>
      </c>
      <c r="R244" s="34">
        <v>1</v>
      </c>
      <c r="S244" s="39" t="s">
        <v>284</v>
      </c>
      <c r="T244" s="41"/>
      <c r="U244" s="41"/>
      <c r="V244" s="41"/>
      <c r="W244" s="41"/>
      <c r="X244" s="41"/>
      <c r="Y244" s="41"/>
      <c r="Z244" s="41">
        <f t="shared" si="3"/>
        <v>0</v>
      </c>
      <c r="AA244" s="48"/>
      <c r="AB244" s="39" t="s">
        <v>399</v>
      </c>
      <c r="AC244" s="39"/>
      <c r="AD244" s="39"/>
      <c r="AE244" s="86"/>
      <c r="AF244" s="102"/>
      <c r="AG244" s="102"/>
      <c r="AH244" s="17">
        <v>10000000</v>
      </c>
    </row>
    <row r="245" spans="1:34" ht="57">
      <c r="A245" s="40"/>
      <c r="B245" s="40"/>
      <c r="C245" s="42"/>
      <c r="D245" s="42"/>
      <c r="E245" s="42"/>
      <c r="F245" s="43"/>
      <c r="G245" s="42"/>
      <c r="H245" s="42"/>
      <c r="I245" s="42"/>
      <c r="J245" s="39" t="s">
        <v>993</v>
      </c>
      <c r="K245" s="39">
        <v>0</v>
      </c>
      <c r="L245" s="39">
        <v>8</v>
      </c>
      <c r="M245" s="39" t="s">
        <v>627</v>
      </c>
      <c r="N245" s="39">
        <v>2</v>
      </c>
      <c r="O245" s="39">
        <v>4</v>
      </c>
      <c r="P245" s="39">
        <v>6</v>
      </c>
      <c r="Q245" s="39">
        <v>8</v>
      </c>
      <c r="R245" s="39">
        <v>2</v>
      </c>
      <c r="S245" s="39" t="s">
        <v>284</v>
      </c>
      <c r="T245" s="29">
        <v>400000000</v>
      </c>
      <c r="U245" s="29"/>
      <c r="V245" s="29"/>
      <c r="W245" s="29"/>
      <c r="X245" s="29"/>
      <c r="Y245" s="29"/>
      <c r="Z245" s="29">
        <f t="shared" si="3"/>
        <v>400000000</v>
      </c>
      <c r="AA245" s="48"/>
      <c r="AB245" s="39" t="s">
        <v>550</v>
      </c>
      <c r="AC245" s="39" t="s">
        <v>1305</v>
      </c>
      <c r="AD245" s="39" t="s">
        <v>1306</v>
      </c>
      <c r="AE245" s="86"/>
      <c r="AF245" s="102">
        <v>6000000</v>
      </c>
      <c r="AG245" s="102">
        <v>6000000</v>
      </c>
      <c r="AH245" s="17">
        <v>30000000</v>
      </c>
    </row>
    <row r="246" spans="1:34" ht="28.5">
      <c r="A246" s="40"/>
      <c r="B246" s="40"/>
      <c r="C246" s="42"/>
      <c r="D246" s="42"/>
      <c r="E246" s="42"/>
      <c r="F246" s="43"/>
      <c r="G246" s="42"/>
      <c r="H246" s="42"/>
      <c r="I246" s="42"/>
      <c r="J246" s="39" t="s">
        <v>994</v>
      </c>
      <c r="K246" s="39">
        <v>0</v>
      </c>
      <c r="L246" s="39">
        <v>4</v>
      </c>
      <c r="M246" s="39" t="s">
        <v>627</v>
      </c>
      <c r="N246" s="39">
        <v>1</v>
      </c>
      <c r="O246" s="39">
        <v>2</v>
      </c>
      <c r="P246" s="39">
        <v>3</v>
      </c>
      <c r="Q246" s="39">
        <v>4</v>
      </c>
      <c r="R246" s="39">
        <v>1</v>
      </c>
      <c r="S246" s="39" t="s">
        <v>284</v>
      </c>
      <c r="T246" s="29">
        <v>100000000</v>
      </c>
      <c r="U246" s="29"/>
      <c r="V246" s="29"/>
      <c r="W246" s="29"/>
      <c r="X246" s="29"/>
      <c r="Y246" s="29"/>
      <c r="Z246" s="29">
        <f t="shared" si="3"/>
        <v>100000000</v>
      </c>
      <c r="AA246" s="48"/>
      <c r="AB246" s="39" t="s">
        <v>400</v>
      </c>
      <c r="AC246" s="39" t="s">
        <v>1303</v>
      </c>
      <c r="AD246" s="39" t="s">
        <v>1304</v>
      </c>
      <c r="AE246" s="86"/>
      <c r="AF246" s="102">
        <v>0</v>
      </c>
      <c r="AG246" s="102">
        <v>0</v>
      </c>
      <c r="AH246" s="17">
        <v>30000000</v>
      </c>
    </row>
    <row r="247" spans="1:34">
      <c r="A247" s="40"/>
      <c r="B247" s="40"/>
      <c r="C247" s="42"/>
      <c r="D247" s="42"/>
      <c r="E247" s="42"/>
      <c r="F247" s="43"/>
      <c r="G247" s="42"/>
      <c r="H247" s="42"/>
      <c r="I247" s="42"/>
      <c r="J247" s="39" t="s">
        <v>995</v>
      </c>
      <c r="K247" s="39">
        <v>0</v>
      </c>
      <c r="L247" s="39">
        <v>1</v>
      </c>
      <c r="M247" s="39" t="s">
        <v>627</v>
      </c>
      <c r="N247" s="39">
        <v>0.25</v>
      </c>
      <c r="O247" s="39">
        <v>0.5</v>
      </c>
      <c r="P247" s="39">
        <v>0.75</v>
      </c>
      <c r="Q247" s="39">
        <v>1</v>
      </c>
      <c r="R247" s="39">
        <v>0.25</v>
      </c>
      <c r="S247" s="39" t="s">
        <v>284</v>
      </c>
      <c r="T247" s="29"/>
      <c r="U247" s="29"/>
      <c r="V247" s="29"/>
      <c r="W247" s="29"/>
      <c r="X247" s="29"/>
      <c r="Y247" s="29"/>
      <c r="Z247" s="29">
        <f t="shared" si="3"/>
        <v>0</v>
      </c>
      <c r="AA247" s="48"/>
      <c r="AB247" s="39" t="s">
        <v>401</v>
      </c>
      <c r="AC247" s="39"/>
      <c r="AD247" s="39"/>
      <c r="AE247" s="39"/>
      <c r="AF247" s="102"/>
      <c r="AG247" s="102"/>
      <c r="AH247" s="17">
        <v>15000000</v>
      </c>
    </row>
    <row r="248" spans="1:34" ht="42.75">
      <c r="A248" s="40"/>
      <c r="B248" s="40"/>
      <c r="C248" s="42"/>
      <c r="D248" s="42"/>
      <c r="E248" s="42"/>
      <c r="F248" s="43"/>
      <c r="G248" s="42"/>
      <c r="H248" s="42"/>
      <c r="I248" s="42" t="s">
        <v>761</v>
      </c>
      <c r="J248" s="39" t="s">
        <v>996</v>
      </c>
      <c r="K248" s="39">
        <v>0</v>
      </c>
      <c r="L248" s="39">
        <v>1</v>
      </c>
      <c r="M248" s="39" t="s">
        <v>627</v>
      </c>
      <c r="N248" s="39">
        <v>0.2</v>
      </c>
      <c r="O248" s="39">
        <v>0.5</v>
      </c>
      <c r="P248" s="39">
        <v>0.7</v>
      </c>
      <c r="Q248" s="39">
        <v>1</v>
      </c>
      <c r="R248" s="39">
        <v>0.2</v>
      </c>
      <c r="S248" s="39" t="s">
        <v>284</v>
      </c>
      <c r="T248" s="29">
        <v>400000000</v>
      </c>
      <c r="U248" s="29"/>
      <c r="V248" s="29"/>
      <c r="W248" s="29"/>
      <c r="X248" s="29"/>
      <c r="Y248" s="29"/>
      <c r="Z248" s="29">
        <f t="shared" si="3"/>
        <v>400000000</v>
      </c>
      <c r="AA248" s="48"/>
      <c r="AB248" s="39" t="s">
        <v>402</v>
      </c>
      <c r="AC248" s="39" t="s">
        <v>1309</v>
      </c>
      <c r="AD248" s="39" t="s">
        <v>1310</v>
      </c>
      <c r="AE248" s="39"/>
      <c r="AF248" s="102"/>
      <c r="AG248" s="102"/>
      <c r="AH248" s="17">
        <v>250000000</v>
      </c>
    </row>
    <row r="249" spans="1:34" ht="156.75">
      <c r="A249" s="40"/>
      <c r="B249" s="40"/>
      <c r="C249" s="42"/>
      <c r="D249" s="42"/>
      <c r="E249" s="42"/>
      <c r="F249" s="43"/>
      <c r="G249" s="42"/>
      <c r="H249" s="42"/>
      <c r="I249" s="42"/>
      <c r="J249" s="39" t="s">
        <v>997</v>
      </c>
      <c r="K249" s="39">
        <v>0</v>
      </c>
      <c r="L249" s="39">
        <v>16</v>
      </c>
      <c r="M249" s="39" t="s">
        <v>627</v>
      </c>
      <c r="N249" s="39">
        <v>4</v>
      </c>
      <c r="O249" s="39">
        <v>8</v>
      </c>
      <c r="P249" s="39">
        <v>12</v>
      </c>
      <c r="Q249" s="39">
        <v>16</v>
      </c>
      <c r="R249" s="39">
        <v>4</v>
      </c>
      <c r="S249" s="39" t="s">
        <v>284</v>
      </c>
      <c r="T249" s="29">
        <v>500000000</v>
      </c>
      <c r="U249" s="29"/>
      <c r="V249" s="29"/>
      <c r="W249" s="29"/>
      <c r="X249" s="29"/>
      <c r="Y249" s="29"/>
      <c r="Z249" s="29">
        <f t="shared" si="3"/>
        <v>500000000</v>
      </c>
      <c r="AA249" s="48"/>
      <c r="AB249" s="39" t="s">
        <v>403</v>
      </c>
      <c r="AC249" s="39" t="s">
        <v>1301</v>
      </c>
      <c r="AD249" s="39" t="s">
        <v>1302</v>
      </c>
      <c r="AE249" s="86"/>
      <c r="AF249" s="102">
        <v>15000000</v>
      </c>
      <c r="AG249" s="102">
        <v>15000000</v>
      </c>
      <c r="AH249" s="17">
        <v>20000000</v>
      </c>
    </row>
    <row r="250" spans="1:34">
      <c r="A250" s="40"/>
      <c r="B250" s="40"/>
      <c r="C250" s="42"/>
      <c r="D250" s="42"/>
      <c r="E250" s="42"/>
      <c r="F250" s="43"/>
      <c r="G250" s="42"/>
      <c r="H250" s="42"/>
      <c r="I250" s="42"/>
      <c r="J250" s="39" t="s">
        <v>998</v>
      </c>
      <c r="K250" s="39">
        <v>0</v>
      </c>
      <c r="L250" s="39">
        <v>1</v>
      </c>
      <c r="M250" s="39" t="s">
        <v>627</v>
      </c>
      <c r="N250" s="39">
        <v>0</v>
      </c>
      <c r="O250" s="39">
        <v>1</v>
      </c>
      <c r="P250" s="39">
        <v>0</v>
      </c>
      <c r="Q250" s="39">
        <v>0</v>
      </c>
      <c r="R250" s="39"/>
      <c r="S250" s="39" t="s">
        <v>284</v>
      </c>
      <c r="T250" s="29">
        <v>2500000000</v>
      </c>
      <c r="U250" s="29"/>
      <c r="V250" s="29"/>
      <c r="W250" s="29"/>
      <c r="X250" s="29"/>
      <c r="Y250" s="29"/>
      <c r="Z250" s="29">
        <f t="shared" si="3"/>
        <v>2500000000</v>
      </c>
      <c r="AA250" s="48"/>
      <c r="AB250" s="39" t="s">
        <v>307</v>
      </c>
      <c r="AC250" s="39"/>
      <c r="AD250" s="39"/>
      <c r="AE250" s="39"/>
      <c r="AF250" s="102"/>
      <c r="AG250" s="102"/>
      <c r="AH250" s="17">
        <v>50000000</v>
      </c>
    </row>
    <row r="251" spans="1:34" ht="42.75">
      <c r="A251" s="40"/>
      <c r="B251" s="40"/>
      <c r="C251" s="42"/>
      <c r="D251" s="42"/>
      <c r="E251" s="42"/>
      <c r="F251" s="43"/>
      <c r="G251" s="42"/>
      <c r="H251" s="42"/>
      <c r="I251" s="42"/>
      <c r="J251" s="39" t="s">
        <v>622</v>
      </c>
      <c r="K251" s="39">
        <v>0</v>
      </c>
      <c r="L251" s="39">
        <v>1</v>
      </c>
      <c r="M251" s="39" t="s">
        <v>627</v>
      </c>
      <c r="N251" s="39">
        <v>0.25</v>
      </c>
      <c r="O251" s="39">
        <v>0.5</v>
      </c>
      <c r="P251" s="39">
        <v>0.75</v>
      </c>
      <c r="Q251" s="39">
        <v>1</v>
      </c>
      <c r="R251" s="39">
        <v>0.25</v>
      </c>
      <c r="S251" s="39" t="s">
        <v>284</v>
      </c>
      <c r="T251" s="29"/>
      <c r="U251" s="29"/>
      <c r="V251" s="29"/>
      <c r="W251" s="29"/>
      <c r="X251" s="29"/>
      <c r="Y251" s="29"/>
      <c r="Z251" s="29">
        <f t="shared" si="3"/>
        <v>0</v>
      </c>
      <c r="AA251" s="48"/>
      <c r="AB251" s="39" t="s">
        <v>405</v>
      </c>
      <c r="AC251" s="39" t="s">
        <v>1295</v>
      </c>
      <c r="AD251" s="39" t="s">
        <v>1296</v>
      </c>
      <c r="AE251" s="86"/>
      <c r="AF251" s="102">
        <v>35400000</v>
      </c>
      <c r="AG251" s="102">
        <v>35400000</v>
      </c>
      <c r="AH251" s="17">
        <v>100000000</v>
      </c>
    </row>
    <row r="252" spans="1:34" ht="285">
      <c r="A252" s="40"/>
      <c r="B252" s="40"/>
      <c r="C252" s="42"/>
      <c r="D252" s="42"/>
      <c r="E252" s="42"/>
      <c r="F252" s="43"/>
      <c r="G252" s="42"/>
      <c r="H252" s="42"/>
      <c r="I252" s="42"/>
      <c r="J252" s="39" t="s">
        <v>999</v>
      </c>
      <c r="K252" s="39">
        <v>0</v>
      </c>
      <c r="L252" s="39">
        <v>1</v>
      </c>
      <c r="M252" s="39" t="s">
        <v>627</v>
      </c>
      <c r="N252" s="39">
        <v>0.25</v>
      </c>
      <c r="O252" s="39">
        <v>0.5</v>
      </c>
      <c r="P252" s="39">
        <v>0.75</v>
      </c>
      <c r="Q252" s="39">
        <v>1</v>
      </c>
      <c r="R252" s="39">
        <v>0.25</v>
      </c>
      <c r="S252" s="39" t="s">
        <v>284</v>
      </c>
      <c r="T252" s="29">
        <v>500000000</v>
      </c>
      <c r="U252" s="29"/>
      <c r="V252" s="29"/>
      <c r="W252" s="29"/>
      <c r="X252" s="29"/>
      <c r="Y252" s="29"/>
      <c r="Z252" s="29">
        <f t="shared" si="3"/>
        <v>500000000</v>
      </c>
      <c r="AA252" s="49"/>
      <c r="AB252" s="39" t="s">
        <v>404</v>
      </c>
      <c r="AC252" s="92" t="s">
        <v>1297</v>
      </c>
      <c r="AD252" s="39" t="s">
        <v>1298</v>
      </c>
      <c r="AE252" s="86"/>
      <c r="AF252" s="102">
        <v>28000000</v>
      </c>
      <c r="AG252" s="102">
        <v>28000000</v>
      </c>
      <c r="AH252" s="17">
        <v>50000000</v>
      </c>
    </row>
    <row r="253" spans="1:34" ht="57">
      <c r="A253" s="40"/>
      <c r="B253" s="40" t="s">
        <v>9</v>
      </c>
      <c r="C253" s="42" t="s">
        <v>181</v>
      </c>
      <c r="D253" s="42" t="s">
        <v>600</v>
      </c>
      <c r="E253" s="42" t="s">
        <v>180</v>
      </c>
      <c r="F253" s="43" t="s">
        <v>174</v>
      </c>
      <c r="G253" s="42" t="s">
        <v>175</v>
      </c>
      <c r="H253" s="42" t="s">
        <v>158</v>
      </c>
      <c r="I253" s="42" t="s">
        <v>762</v>
      </c>
      <c r="J253" s="39" t="s">
        <v>1000</v>
      </c>
      <c r="K253" s="39">
        <v>0</v>
      </c>
      <c r="L253" s="39">
        <v>20</v>
      </c>
      <c r="M253" s="39" t="s">
        <v>627</v>
      </c>
      <c r="N253" s="39">
        <v>5</v>
      </c>
      <c r="O253" s="39">
        <v>10</v>
      </c>
      <c r="P253" s="39">
        <v>15</v>
      </c>
      <c r="Q253" s="39">
        <v>20</v>
      </c>
      <c r="R253" s="39">
        <v>5</v>
      </c>
      <c r="S253" s="39" t="s">
        <v>287</v>
      </c>
      <c r="T253" s="41">
        <f>800000000</f>
        <v>800000000</v>
      </c>
      <c r="U253" s="41"/>
      <c r="V253" s="41"/>
      <c r="W253" s="41"/>
      <c r="X253" s="41"/>
      <c r="Y253" s="41"/>
      <c r="Z253" s="41">
        <f t="shared" si="3"/>
        <v>800000000</v>
      </c>
      <c r="AA253" s="47" t="s">
        <v>495</v>
      </c>
      <c r="AB253" s="39" t="s">
        <v>508</v>
      </c>
      <c r="AC253" s="39" t="s">
        <v>1329</v>
      </c>
      <c r="AD253" s="39" t="s">
        <v>1330</v>
      </c>
      <c r="AE253" s="39"/>
      <c r="AF253" s="102">
        <f>652302988+10000000</f>
        <v>662302988</v>
      </c>
      <c r="AG253" s="102">
        <f>652302988+2500000</f>
        <v>654802988</v>
      </c>
      <c r="AH253" s="17">
        <v>50000000</v>
      </c>
    </row>
    <row r="254" spans="1:34" ht="142.5">
      <c r="A254" s="40"/>
      <c r="B254" s="40"/>
      <c r="C254" s="42"/>
      <c r="D254" s="42"/>
      <c r="E254" s="42"/>
      <c r="F254" s="43"/>
      <c r="G254" s="42"/>
      <c r="H254" s="42"/>
      <c r="I254" s="42"/>
      <c r="J254" s="39" t="s">
        <v>1001</v>
      </c>
      <c r="K254" s="39">
        <v>1</v>
      </c>
      <c r="L254" s="39">
        <v>15</v>
      </c>
      <c r="M254" s="39" t="s">
        <v>627</v>
      </c>
      <c r="N254" s="39">
        <v>6</v>
      </c>
      <c r="O254" s="39">
        <v>10</v>
      </c>
      <c r="P254" s="39">
        <v>13</v>
      </c>
      <c r="Q254" s="39">
        <v>15</v>
      </c>
      <c r="R254" s="39">
        <v>12</v>
      </c>
      <c r="S254" s="39" t="s">
        <v>45</v>
      </c>
      <c r="T254" s="41"/>
      <c r="U254" s="41"/>
      <c r="V254" s="41"/>
      <c r="W254" s="41"/>
      <c r="X254" s="41"/>
      <c r="Y254" s="41"/>
      <c r="Z254" s="41">
        <f t="shared" si="3"/>
        <v>0</v>
      </c>
      <c r="AA254" s="48"/>
      <c r="AB254" s="39" t="s">
        <v>570</v>
      </c>
      <c r="AC254" s="80" t="s">
        <v>1184</v>
      </c>
      <c r="AD254" s="80" t="s">
        <v>1185</v>
      </c>
      <c r="AE254" s="81" t="s">
        <v>1186</v>
      </c>
      <c r="AF254" s="102">
        <v>0</v>
      </c>
      <c r="AG254" s="102">
        <v>0</v>
      </c>
      <c r="AH254" s="17">
        <v>10000000</v>
      </c>
    </row>
    <row r="255" spans="1:34" ht="42.75">
      <c r="A255" s="40"/>
      <c r="B255" s="40"/>
      <c r="C255" s="42"/>
      <c r="D255" s="42"/>
      <c r="E255" s="42"/>
      <c r="F255" s="43"/>
      <c r="G255" s="42"/>
      <c r="H255" s="42"/>
      <c r="I255" s="42"/>
      <c r="J255" s="39" t="s">
        <v>623</v>
      </c>
      <c r="K255" s="39">
        <v>0</v>
      </c>
      <c r="L255" s="39">
        <v>1</v>
      </c>
      <c r="M255" s="39" t="s">
        <v>627</v>
      </c>
      <c r="N255" s="39">
        <v>0.25</v>
      </c>
      <c r="O255" s="39">
        <v>0.5</v>
      </c>
      <c r="P255" s="39">
        <v>0.75</v>
      </c>
      <c r="Q255" s="39">
        <v>1</v>
      </c>
      <c r="R255" s="39"/>
      <c r="S255" s="39" t="s">
        <v>285</v>
      </c>
      <c r="T255" s="41"/>
      <c r="U255" s="41"/>
      <c r="V255" s="41"/>
      <c r="W255" s="41"/>
      <c r="X255" s="41"/>
      <c r="Y255" s="41"/>
      <c r="Z255" s="41">
        <f t="shared" si="3"/>
        <v>0</v>
      </c>
      <c r="AA255" s="48"/>
      <c r="AB255" s="39" t="s">
        <v>503</v>
      </c>
      <c r="AC255" s="39"/>
      <c r="AD255" s="39"/>
      <c r="AE255" s="39"/>
      <c r="AF255" s="102"/>
      <c r="AG255" s="102"/>
      <c r="AH255" s="17">
        <v>10000000</v>
      </c>
    </row>
    <row r="256" spans="1:34" ht="57">
      <c r="A256" s="40"/>
      <c r="B256" s="40"/>
      <c r="C256" s="42"/>
      <c r="D256" s="42"/>
      <c r="E256" s="42"/>
      <c r="F256" s="43"/>
      <c r="G256" s="42"/>
      <c r="H256" s="42"/>
      <c r="I256" s="42"/>
      <c r="J256" s="39" t="s">
        <v>1002</v>
      </c>
      <c r="K256" s="39">
        <v>0</v>
      </c>
      <c r="L256" s="39">
        <v>4</v>
      </c>
      <c r="M256" s="39" t="s">
        <v>627</v>
      </c>
      <c r="N256" s="39">
        <v>1</v>
      </c>
      <c r="O256" s="39">
        <v>2</v>
      </c>
      <c r="P256" s="39">
        <v>3</v>
      </c>
      <c r="Q256" s="39">
        <v>4</v>
      </c>
      <c r="R256" s="39">
        <v>1</v>
      </c>
      <c r="S256" s="39" t="s">
        <v>287</v>
      </c>
      <c r="T256" s="41"/>
      <c r="U256" s="41"/>
      <c r="V256" s="41"/>
      <c r="W256" s="41"/>
      <c r="X256" s="41"/>
      <c r="Y256" s="41"/>
      <c r="Z256" s="41">
        <f t="shared" si="3"/>
        <v>0</v>
      </c>
      <c r="AA256" s="48"/>
      <c r="AB256" s="39" t="s">
        <v>375</v>
      </c>
      <c r="AC256" s="39" t="s">
        <v>1331</v>
      </c>
      <c r="AD256" s="39" t="s">
        <v>1088</v>
      </c>
      <c r="AE256" s="39"/>
      <c r="AF256" s="102">
        <v>30038706</v>
      </c>
      <c r="AG256" s="102">
        <v>30038706</v>
      </c>
      <c r="AH256" s="17">
        <v>30000000</v>
      </c>
    </row>
    <row r="257" spans="1:34" ht="99.75">
      <c r="A257" s="40"/>
      <c r="B257" s="40"/>
      <c r="C257" s="42"/>
      <c r="D257" s="42"/>
      <c r="E257" s="42"/>
      <c r="F257" s="43"/>
      <c r="G257" s="42"/>
      <c r="H257" s="42"/>
      <c r="I257" s="39" t="s">
        <v>763</v>
      </c>
      <c r="J257" s="39" t="s">
        <v>1003</v>
      </c>
      <c r="K257" s="39">
        <v>0</v>
      </c>
      <c r="L257" s="39">
        <v>1</v>
      </c>
      <c r="M257" s="39" t="s">
        <v>627</v>
      </c>
      <c r="N257" s="39">
        <v>0.25</v>
      </c>
      <c r="O257" s="39">
        <v>0.5</v>
      </c>
      <c r="P257" s="39">
        <v>0.75</v>
      </c>
      <c r="Q257" s="39">
        <v>1</v>
      </c>
      <c r="R257" s="39">
        <v>0.25</v>
      </c>
      <c r="S257" s="39" t="s">
        <v>287</v>
      </c>
      <c r="T257" s="29">
        <v>320000000</v>
      </c>
      <c r="U257" s="29"/>
      <c r="V257" s="29"/>
      <c r="W257" s="29"/>
      <c r="X257" s="29"/>
      <c r="Y257" s="29"/>
      <c r="Z257" s="29">
        <f t="shared" si="3"/>
        <v>320000000</v>
      </c>
      <c r="AA257" s="49"/>
      <c r="AB257" s="39" t="s">
        <v>515</v>
      </c>
      <c r="AC257" s="39" t="s">
        <v>1089</v>
      </c>
      <c r="AD257" s="39" t="s">
        <v>1088</v>
      </c>
      <c r="AE257" s="39"/>
      <c r="AF257" s="17">
        <f>38500000*0.7</f>
        <v>26950000</v>
      </c>
      <c r="AG257" s="17">
        <f>38500000*0.7</f>
        <v>26950000</v>
      </c>
      <c r="AH257" s="17">
        <v>2000000000</v>
      </c>
    </row>
    <row r="258" spans="1:34" ht="85.5">
      <c r="A258" s="40" t="s">
        <v>98</v>
      </c>
      <c r="B258" s="40" t="s">
        <v>5</v>
      </c>
      <c r="C258" s="42" t="s">
        <v>580</v>
      </c>
      <c r="D258" s="42" t="s">
        <v>601</v>
      </c>
      <c r="E258" s="42" t="s">
        <v>187</v>
      </c>
      <c r="F258" s="42" t="s">
        <v>764</v>
      </c>
      <c r="G258" s="42" t="s">
        <v>92</v>
      </c>
      <c r="H258" s="42" t="s">
        <v>766</v>
      </c>
      <c r="I258" s="42" t="s">
        <v>768</v>
      </c>
      <c r="J258" s="39" t="s">
        <v>1004</v>
      </c>
      <c r="K258" s="39">
        <v>22000</v>
      </c>
      <c r="L258" s="39">
        <f>22000+160000</f>
        <v>182000</v>
      </c>
      <c r="M258" s="39" t="s">
        <v>627</v>
      </c>
      <c r="N258" s="39">
        <f>+K258+40000</f>
        <v>62000</v>
      </c>
      <c r="O258" s="39">
        <f>+N258+60000</f>
        <v>122000</v>
      </c>
      <c r="P258" s="39">
        <f>+O258+30000</f>
        <v>152000</v>
      </c>
      <c r="Q258" s="39">
        <f>+P258+30000</f>
        <v>182000</v>
      </c>
      <c r="R258" s="39"/>
      <c r="S258" s="39" t="s">
        <v>288</v>
      </c>
      <c r="T258" s="29"/>
      <c r="U258" s="29"/>
      <c r="V258" s="29"/>
      <c r="W258" s="29"/>
      <c r="X258" s="29">
        <v>4642699836</v>
      </c>
      <c r="Y258" s="29"/>
      <c r="Z258" s="29">
        <f t="shared" si="3"/>
        <v>4642699836</v>
      </c>
      <c r="AA258" s="42" t="s">
        <v>720</v>
      </c>
      <c r="AB258" s="39" t="s">
        <v>424</v>
      </c>
      <c r="AC258" s="39" t="s">
        <v>1232</v>
      </c>
      <c r="AD258" s="39" t="s">
        <v>1233</v>
      </c>
      <c r="AE258" s="47" t="s">
        <v>1234</v>
      </c>
      <c r="AF258" s="103">
        <v>2624190276</v>
      </c>
      <c r="AG258" s="104">
        <v>1518468243.23</v>
      </c>
      <c r="AH258" s="17">
        <v>2000000000</v>
      </c>
    </row>
    <row r="259" spans="1:34" ht="28.5">
      <c r="A259" s="40"/>
      <c r="B259" s="40"/>
      <c r="C259" s="42"/>
      <c r="D259" s="42"/>
      <c r="E259" s="42"/>
      <c r="F259" s="42"/>
      <c r="G259" s="42"/>
      <c r="H259" s="42"/>
      <c r="I259" s="42"/>
      <c r="J259" s="39" t="s">
        <v>1005</v>
      </c>
      <c r="K259" s="39">
        <v>0</v>
      </c>
      <c r="L259" s="39">
        <v>1200000</v>
      </c>
      <c r="M259" s="39" t="s">
        <v>627</v>
      </c>
      <c r="N259" s="39">
        <v>300000</v>
      </c>
      <c r="O259" s="39">
        <v>600000</v>
      </c>
      <c r="P259" s="39">
        <v>900000</v>
      </c>
      <c r="Q259" s="39">
        <v>1200000</v>
      </c>
      <c r="R259" s="39"/>
      <c r="S259" s="39" t="s">
        <v>288</v>
      </c>
      <c r="T259" s="29">
        <f>2200000000-220000000-1295884994</f>
        <v>684115006</v>
      </c>
      <c r="U259" s="29"/>
      <c r="V259" s="29"/>
      <c r="W259" s="29"/>
      <c r="X259" s="29"/>
      <c r="Y259" s="29">
        <v>220000000</v>
      </c>
      <c r="Z259" s="29">
        <f t="shared" si="3"/>
        <v>904115006</v>
      </c>
      <c r="AA259" s="42"/>
      <c r="AB259" s="39" t="s">
        <v>425</v>
      </c>
      <c r="AC259" s="39" t="s">
        <v>1235</v>
      </c>
      <c r="AD259" s="39"/>
      <c r="AE259" s="49"/>
      <c r="AF259" s="105"/>
      <c r="AG259" s="106"/>
      <c r="AH259" s="17">
        <v>172000000</v>
      </c>
    </row>
    <row r="260" spans="1:34" ht="28.5">
      <c r="A260" s="40"/>
      <c r="B260" s="40"/>
      <c r="C260" s="42"/>
      <c r="D260" s="42"/>
      <c r="E260" s="42"/>
      <c r="F260" s="42"/>
      <c r="G260" s="42"/>
      <c r="H260" s="42"/>
      <c r="I260" s="42"/>
      <c r="J260" s="39" t="s">
        <v>1006</v>
      </c>
      <c r="K260" s="39">
        <v>800</v>
      </c>
      <c r="L260" s="39">
        <v>4400</v>
      </c>
      <c r="M260" s="39" t="s">
        <v>627</v>
      </c>
      <c r="N260" s="39">
        <f>1240+800</f>
        <v>2040</v>
      </c>
      <c r="O260" s="39">
        <f>780+2040</f>
        <v>2820</v>
      </c>
      <c r="P260" s="39">
        <f>780+2820</f>
        <v>3600</v>
      </c>
      <c r="Q260" s="39">
        <f>800+3600</f>
        <v>4400</v>
      </c>
      <c r="R260" s="39"/>
      <c r="S260" s="39" t="s">
        <v>288</v>
      </c>
      <c r="T260" s="29"/>
      <c r="U260" s="29"/>
      <c r="V260" s="29"/>
      <c r="W260" s="29"/>
      <c r="X260" s="29">
        <v>623000000</v>
      </c>
      <c r="Y260" s="29"/>
      <c r="Z260" s="29">
        <f t="shared" si="3"/>
        <v>623000000</v>
      </c>
      <c r="AA260" s="42"/>
      <c r="AB260" s="39" t="s">
        <v>426</v>
      </c>
      <c r="AC260" s="39" t="s">
        <v>1236</v>
      </c>
      <c r="AD260" s="39" t="s">
        <v>1237</v>
      </c>
      <c r="AE260" s="39"/>
      <c r="AF260" s="17">
        <v>138020488</v>
      </c>
      <c r="AG260" s="17">
        <v>138020488</v>
      </c>
      <c r="AH260" s="17">
        <v>125000000</v>
      </c>
    </row>
    <row r="261" spans="1:34">
      <c r="A261" s="40"/>
      <c r="B261" s="40"/>
      <c r="C261" s="42"/>
      <c r="D261" s="42"/>
      <c r="E261" s="42"/>
      <c r="F261" s="42"/>
      <c r="G261" s="42"/>
      <c r="H261" s="42"/>
      <c r="I261" s="42"/>
      <c r="J261" s="39" t="s">
        <v>1007</v>
      </c>
      <c r="K261" s="39">
        <v>0</v>
      </c>
      <c r="L261" s="39">
        <v>540</v>
      </c>
      <c r="M261" s="39" t="s">
        <v>627</v>
      </c>
      <c r="N261" s="39">
        <v>15</v>
      </c>
      <c r="O261" s="39">
        <f>175+15</f>
        <v>190</v>
      </c>
      <c r="P261" s="39">
        <f>175+190</f>
        <v>365</v>
      </c>
      <c r="Q261" s="39">
        <f>175+365</f>
        <v>540</v>
      </c>
      <c r="R261" s="39"/>
      <c r="S261" s="39" t="s">
        <v>288</v>
      </c>
      <c r="T261" s="29">
        <v>227000000</v>
      </c>
      <c r="U261" s="29"/>
      <c r="V261" s="29"/>
      <c r="W261" s="29"/>
      <c r="X261" s="29"/>
      <c r="Y261" s="29"/>
      <c r="Z261" s="29">
        <f t="shared" si="3"/>
        <v>227000000</v>
      </c>
      <c r="AA261" s="42"/>
      <c r="AB261" s="39" t="s">
        <v>427</v>
      </c>
      <c r="AC261" s="39"/>
      <c r="AD261" s="39"/>
      <c r="AE261" s="39"/>
      <c r="AF261" s="17"/>
      <c r="AG261" s="17"/>
      <c r="AH261" s="17">
        <v>500000000</v>
      </c>
    </row>
    <row r="262" spans="1:34" ht="28.5">
      <c r="A262" s="40"/>
      <c r="B262" s="40"/>
      <c r="C262" s="42"/>
      <c r="D262" s="42"/>
      <c r="E262" s="42"/>
      <c r="F262" s="42" t="s">
        <v>765</v>
      </c>
      <c r="G262" s="42" t="s">
        <v>93</v>
      </c>
      <c r="H262" s="42" t="s">
        <v>767</v>
      </c>
      <c r="I262" s="42" t="s">
        <v>769</v>
      </c>
      <c r="J262" s="39" t="s">
        <v>1008</v>
      </c>
      <c r="K262" s="39">
        <v>64000</v>
      </c>
      <c r="L262" s="39">
        <v>108100</v>
      </c>
      <c r="M262" s="39" t="s">
        <v>627</v>
      </c>
      <c r="N262" s="39">
        <f>16840+K262</f>
        <v>80840</v>
      </c>
      <c r="O262" s="39">
        <f>10000+80840</f>
        <v>90840</v>
      </c>
      <c r="P262" s="39">
        <f>10000+90840</f>
        <v>100840</v>
      </c>
      <c r="Q262" s="39">
        <f>7260+100840</f>
        <v>108100</v>
      </c>
      <c r="R262" s="39"/>
      <c r="S262" s="39" t="s">
        <v>288</v>
      </c>
      <c r="T262" s="29">
        <v>621000000</v>
      </c>
      <c r="U262" s="29"/>
      <c r="V262" s="29"/>
      <c r="W262" s="29"/>
      <c r="X262" s="29"/>
      <c r="Y262" s="29">
        <v>5360835672</v>
      </c>
      <c r="Z262" s="29">
        <f t="shared" si="3"/>
        <v>5981835672</v>
      </c>
      <c r="AA262" s="42" t="s">
        <v>770</v>
      </c>
      <c r="AB262" s="39" t="s">
        <v>428</v>
      </c>
      <c r="AC262" s="39" t="s">
        <v>1238</v>
      </c>
      <c r="AD262" s="39" t="s">
        <v>1239</v>
      </c>
      <c r="AE262" s="39" t="s">
        <v>1240</v>
      </c>
      <c r="AF262" s="17">
        <v>5871870158</v>
      </c>
      <c r="AG262" s="17">
        <v>3367952066.6999998</v>
      </c>
      <c r="AH262" s="17">
        <v>500000000</v>
      </c>
    </row>
    <row r="263" spans="1:34">
      <c r="A263" s="40"/>
      <c r="B263" s="40"/>
      <c r="C263" s="42"/>
      <c r="D263" s="42"/>
      <c r="E263" s="42"/>
      <c r="F263" s="42"/>
      <c r="G263" s="42"/>
      <c r="H263" s="42"/>
      <c r="I263" s="42"/>
      <c r="J263" s="39" t="s">
        <v>1009</v>
      </c>
      <c r="K263" s="39">
        <v>0</v>
      </c>
      <c r="L263" s="39">
        <v>600</v>
      </c>
      <c r="M263" s="39" t="s">
        <v>627</v>
      </c>
      <c r="N263" s="39">
        <v>0</v>
      </c>
      <c r="O263" s="39">
        <v>150</v>
      </c>
      <c r="P263" s="39">
        <v>400</v>
      </c>
      <c r="Q263" s="39">
        <v>600</v>
      </c>
      <c r="R263" s="39"/>
      <c r="S263" s="39" t="s">
        <v>288</v>
      </c>
      <c r="T263" s="29">
        <v>72000000</v>
      </c>
      <c r="U263" s="29"/>
      <c r="V263" s="29"/>
      <c r="W263" s="29"/>
      <c r="X263" s="29"/>
      <c r="Y263" s="29"/>
      <c r="Z263" s="29">
        <f t="shared" si="3"/>
        <v>72000000</v>
      </c>
      <c r="AA263" s="42"/>
      <c r="AB263" s="39" t="s">
        <v>429</v>
      </c>
      <c r="AC263" s="39"/>
      <c r="AD263" s="39"/>
      <c r="AE263" s="39"/>
      <c r="AF263" s="17"/>
      <c r="AG263" s="17"/>
      <c r="AH263" s="17">
        <v>20000000</v>
      </c>
    </row>
    <row r="264" spans="1:34" ht="28.5">
      <c r="A264" s="40"/>
      <c r="B264" s="40"/>
      <c r="C264" s="42"/>
      <c r="D264" s="42"/>
      <c r="E264" s="42"/>
      <c r="F264" s="42"/>
      <c r="G264" s="42"/>
      <c r="H264" s="42"/>
      <c r="I264" s="42"/>
      <c r="J264" s="39" t="s">
        <v>1010</v>
      </c>
      <c r="K264" s="39">
        <v>1100</v>
      </c>
      <c r="L264" s="39">
        <v>4100</v>
      </c>
      <c r="M264" s="39" t="s">
        <v>627</v>
      </c>
      <c r="N264" s="39">
        <f>+K264+750</f>
        <v>1850</v>
      </c>
      <c r="O264" s="39">
        <f>+N264+750</f>
        <v>2600</v>
      </c>
      <c r="P264" s="39">
        <f>+O264+750</f>
        <v>3350</v>
      </c>
      <c r="Q264" s="39">
        <f>+P264+750</f>
        <v>4100</v>
      </c>
      <c r="R264" s="39"/>
      <c r="S264" s="39" t="s">
        <v>288</v>
      </c>
      <c r="T264" s="29">
        <v>102000000</v>
      </c>
      <c r="U264" s="29"/>
      <c r="V264" s="29"/>
      <c r="W264" s="29"/>
      <c r="X264" s="29"/>
      <c r="Y264" s="29"/>
      <c r="Z264" s="29">
        <f t="shared" si="3"/>
        <v>102000000</v>
      </c>
      <c r="AA264" s="42"/>
      <c r="AB264" s="39" t="s">
        <v>436</v>
      </c>
      <c r="AC264" s="39" t="s">
        <v>1241</v>
      </c>
      <c r="AD264" s="39" t="s">
        <v>1242</v>
      </c>
      <c r="AE264" s="39" t="s">
        <v>1243</v>
      </c>
      <c r="AF264" s="17">
        <v>100000000</v>
      </c>
      <c r="AG264" s="17">
        <v>100000000</v>
      </c>
      <c r="AH264" s="17">
        <v>27000000</v>
      </c>
    </row>
    <row r="265" spans="1:34">
      <c r="A265" s="40"/>
      <c r="B265" s="40"/>
      <c r="C265" s="42"/>
      <c r="D265" s="42"/>
      <c r="E265" s="42"/>
      <c r="F265" s="42"/>
      <c r="G265" s="42"/>
      <c r="H265" s="42"/>
      <c r="I265" s="42"/>
      <c r="J265" s="39" t="s">
        <v>1011</v>
      </c>
      <c r="K265" s="39">
        <v>0</v>
      </c>
      <c r="L265" s="39">
        <v>39400</v>
      </c>
      <c r="M265" s="39" t="s">
        <v>627</v>
      </c>
      <c r="N265" s="39">
        <v>18400</v>
      </c>
      <c r="O265" s="39">
        <f>+N265+7000</f>
        <v>25400</v>
      </c>
      <c r="P265" s="39">
        <f t="shared" ref="P265:Q265" si="4">+O265+7000</f>
        <v>32400</v>
      </c>
      <c r="Q265" s="39">
        <f t="shared" si="4"/>
        <v>39400</v>
      </c>
      <c r="R265" s="39"/>
      <c r="S265" s="39" t="s">
        <v>288</v>
      </c>
      <c r="T265" s="29"/>
      <c r="U265" s="29"/>
      <c r="V265" s="29"/>
      <c r="W265" s="29">
        <v>1000000</v>
      </c>
      <c r="X265" s="29"/>
      <c r="Y265" s="29"/>
      <c r="Z265" s="29">
        <f t="shared" si="3"/>
        <v>1000000</v>
      </c>
      <c r="AA265" s="42"/>
      <c r="AB265" s="39" t="s">
        <v>430</v>
      </c>
      <c r="AC265" s="39"/>
      <c r="AD265" s="39"/>
      <c r="AE265" s="39"/>
      <c r="AF265" s="17"/>
      <c r="AG265" s="17"/>
      <c r="AH265" s="17">
        <v>10000000</v>
      </c>
    </row>
    <row r="266" spans="1:34" ht="28.5">
      <c r="A266" s="40"/>
      <c r="B266" s="40"/>
      <c r="C266" s="42"/>
      <c r="D266" s="42"/>
      <c r="E266" s="42"/>
      <c r="F266" s="42"/>
      <c r="G266" s="42"/>
      <c r="H266" s="42"/>
      <c r="I266" s="42"/>
      <c r="J266" s="39" t="s">
        <v>1012</v>
      </c>
      <c r="K266" s="39">
        <v>1</v>
      </c>
      <c r="L266" s="39">
        <v>6</v>
      </c>
      <c r="M266" s="39" t="s">
        <v>627</v>
      </c>
      <c r="N266" s="39">
        <v>2</v>
      </c>
      <c r="O266" s="39">
        <v>3</v>
      </c>
      <c r="P266" s="39">
        <v>5</v>
      </c>
      <c r="Q266" s="39">
        <v>6</v>
      </c>
      <c r="R266" s="39"/>
      <c r="S266" s="39" t="s">
        <v>288</v>
      </c>
      <c r="T266" s="29">
        <v>500000000</v>
      </c>
      <c r="U266" s="29"/>
      <c r="V266" s="29"/>
      <c r="W266" s="29"/>
      <c r="X266" s="29"/>
      <c r="Y266" s="29"/>
      <c r="Z266" s="29">
        <f t="shared" si="3"/>
        <v>500000000</v>
      </c>
      <c r="AA266" s="42"/>
      <c r="AB266" s="39" t="s">
        <v>431</v>
      </c>
      <c r="AC266" s="39" t="s">
        <v>1244</v>
      </c>
      <c r="AD266" s="39" t="s">
        <v>1245</v>
      </c>
      <c r="AE266" s="39" t="s">
        <v>1246</v>
      </c>
      <c r="AF266" s="17"/>
      <c r="AG266" s="17"/>
      <c r="AH266" s="17">
        <v>10000000</v>
      </c>
    </row>
    <row r="267" spans="1:34" ht="28.5">
      <c r="A267" s="40"/>
      <c r="B267" s="40"/>
      <c r="C267" s="42"/>
      <c r="D267" s="42"/>
      <c r="E267" s="42"/>
      <c r="F267" s="42"/>
      <c r="G267" s="42"/>
      <c r="H267" s="42"/>
      <c r="I267" s="42"/>
      <c r="J267" s="39" t="s">
        <v>1013</v>
      </c>
      <c r="K267" s="39">
        <v>31000</v>
      </c>
      <c r="L267" s="39">
        <v>36585</v>
      </c>
      <c r="M267" s="39" t="s">
        <v>627</v>
      </c>
      <c r="N267" s="39">
        <f>+K267+1400</f>
        <v>32400</v>
      </c>
      <c r="O267" s="39">
        <f>+N267+1400</f>
        <v>33800</v>
      </c>
      <c r="P267" s="39">
        <f>+O267+1400</f>
        <v>35200</v>
      </c>
      <c r="Q267" s="39">
        <f>+P267+1400-15</f>
        <v>36585</v>
      </c>
      <c r="R267" s="39"/>
      <c r="S267" s="39" t="s">
        <v>288</v>
      </c>
      <c r="T267" s="29">
        <v>860000000</v>
      </c>
      <c r="U267" s="29"/>
      <c r="V267" s="29"/>
      <c r="W267" s="29"/>
      <c r="X267" s="29"/>
      <c r="Y267" s="29"/>
      <c r="Z267" s="29">
        <f t="shared" ref="Z267:Z293" si="5">+T267+U267+V267+W267+X267+Y267</f>
        <v>860000000</v>
      </c>
      <c r="AA267" s="42"/>
      <c r="AB267" s="39" t="s">
        <v>432</v>
      </c>
      <c r="AC267" s="39" t="s">
        <v>1247</v>
      </c>
      <c r="AD267" s="39" t="s">
        <v>1245</v>
      </c>
      <c r="AE267" s="39" t="s">
        <v>1246</v>
      </c>
      <c r="AF267" s="17"/>
      <c r="AG267" s="17"/>
      <c r="AH267" s="17">
        <v>100000000</v>
      </c>
    </row>
    <row r="268" spans="1:34" ht="28.5">
      <c r="A268" s="40"/>
      <c r="B268" s="40"/>
      <c r="C268" s="42"/>
      <c r="D268" s="42"/>
      <c r="E268" s="42"/>
      <c r="F268" s="42"/>
      <c r="G268" s="42"/>
      <c r="H268" s="42"/>
      <c r="I268" s="42"/>
      <c r="J268" s="39" t="s">
        <v>1014</v>
      </c>
      <c r="K268" s="39">
        <v>0</v>
      </c>
      <c r="L268" s="39">
        <v>42700</v>
      </c>
      <c r="M268" s="39" t="s">
        <v>627</v>
      </c>
      <c r="N268" s="39">
        <v>0</v>
      </c>
      <c r="O268" s="39">
        <v>0</v>
      </c>
      <c r="P268" s="39">
        <v>20000</v>
      </c>
      <c r="Q268" s="39">
        <f>22700+20000</f>
        <v>42700</v>
      </c>
      <c r="R268" s="39"/>
      <c r="S268" s="39" t="s">
        <v>288</v>
      </c>
      <c r="T268" s="29"/>
      <c r="U268" s="29"/>
      <c r="V268" s="29"/>
      <c r="W268" s="29">
        <v>1000000</v>
      </c>
      <c r="X268" s="29"/>
      <c r="Y268" s="29"/>
      <c r="Z268" s="29">
        <f t="shared" si="5"/>
        <v>1000000</v>
      </c>
      <c r="AA268" s="42"/>
      <c r="AB268" s="39" t="s">
        <v>433</v>
      </c>
      <c r="AC268" s="39"/>
      <c r="AD268" s="39"/>
      <c r="AE268" s="39"/>
      <c r="AF268" s="17"/>
      <c r="AG268" s="17"/>
      <c r="AH268" s="17">
        <v>10000000</v>
      </c>
    </row>
    <row r="269" spans="1:34" ht="28.5">
      <c r="A269" s="40"/>
      <c r="B269" s="40"/>
      <c r="C269" s="42"/>
      <c r="D269" s="42"/>
      <c r="E269" s="42"/>
      <c r="F269" s="42"/>
      <c r="G269" s="42"/>
      <c r="H269" s="42"/>
      <c r="I269" s="42"/>
      <c r="J269" s="39" t="s">
        <v>1015</v>
      </c>
      <c r="K269" s="39">
        <v>0</v>
      </c>
      <c r="L269" s="39">
        <v>100</v>
      </c>
      <c r="M269" s="39" t="s">
        <v>627</v>
      </c>
      <c r="N269" s="39">
        <v>25</v>
      </c>
      <c r="O269" s="39">
        <v>50</v>
      </c>
      <c r="P269" s="39">
        <v>75</v>
      </c>
      <c r="Q269" s="39">
        <v>100</v>
      </c>
      <c r="R269" s="39"/>
      <c r="S269" s="39" t="s">
        <v>288</v>
      </c>
      <c r="T269" s="29"/>
      <c r="U269" s="29"/>
      <c r="V269" s="29"/>
      <c r="W269" s="29"/>
      <c r="X269" s="29"/>
      <c r="Y269" s="29"/>
      <c r="Z269" s="29">
        <f t="shared" si="5"/>
        <v>0</v>
      </c>
      <c r="AA269" s="42"/>
      <c r="AB269" s="39" t="s">
        <v>434</v>
      </c>
      <c r="AC269" s="39"/>
      <c r="AD269" s="39"/>
      <c r="AE269" s="39"/>
      <c r="AF269" s="17"/>
      <c r="AG269" s="17"/>
      <c r="AH269" s="17">
        <v>10000000</v>
      </c>
    </row>
    <row r="270" spans="1:34">
      <c r="A270" s="40"/>
      <c r="B270" s="40"/>
      <c r="C270" s="42"/>
      <c r="D270" s="42"/>
      <c r="E270" s="42"/>
      <c r="F270" s="42"/>
      <c r="G270" s="42"/>
      <c r="H270" s="42"/>
      <c r="I270" s="42"/>
      <c r="J270" s="39" t="s">
        <v>1016</v>
      </c>
      <c r="K270" s="39">
        <v>0</v>
      </c>
      <c r="L270" s="39">
        <v>6860</v>
      </c>
      <c r="M270" s="39" t="s">
        <v>627</v>
      </c>
      <c r="N270" s="39">
        <v>0</v>
      </c>
      <c r="O270" s="39">
        <v>2200</v>
      </c>
      <c r="P270" s="39">
        <f>+O270+2300</f>
        <v>4500</v>
      </c>
      <c r="Q270" s="39">
        <f>+P270+2360</f>
        <v>6860</v>
      </c>
      <c r="R270" s="39"/>
      <c r="S270" s="39" t="s">
        <v>288</v>
      </c>
      <c r="T270" s="29">
        <v>247000000</v>
      </c>
      <c r="U270" s="29"/>
      <c r="V270" s="29"/>
      <c r="W270" s="29"/>
      <c r="X270" s="29"/>
      <c r="Y270" s="29"/>
      <c r="Z270" s="29">
        <f t="shared" si="5"/>
        <v>247000000</v>
      </c>
      <c r="AA270" s="42"/>
      <c r="AB270" s="39" t="s">
        <v>435</v>
      </c>
      <c r="AC270" s="39"/>
      <c r="AD270" s="39"/>
      <c r="AE270" s="39"/>
      <c r="AF270" s="17"/>
      <c r="AG270" s="17"/>
      <c r="AH270" s="17">
        <v>71000000</v>
      </c>
    </row>
    <row r="271" spans="1:34" ht="28.5">
      <c r="A271" s="40"/>
      <c r="B271" s="40"/>
      <c r="C271" s="42" t="s">
        <v>131</v>
      </c>
      <c r="D271" s="42" t="s">
        <v>602</v>
      </c>
      <c r="E271" s="42" t="s">
        <v>56</v>
      </c>
      <c r="F271" s="43" t="s">
        <v>57</v>
      </c>
      <c r="G271" s="42" t="s">
        <v>58</v>
      </c>
      <c r="H271" s="39" t="s">
        <v>771</v>
      </c>
      <c r="I271" s="39" t="s">
        <v>773</v>
      </c>
      <c r="J271" s="39" t="s">
        <v>1017</v>
      </c>
      <c r="K271" s="39">
        <v>0</v>
      </c>
      <c r="L271" s="39">
        <v>1</v>
      </c>
      <c r="M271" s="39" t="s">
        <v>627</v>
      </c>
      <c r="N271" s="39">
        <v>0</v>
      </c>
      <c r="O271" s="39">
        <v>0.5</v>
      </c>
      <c r="P271" s="39">
        <v>0.75</v>
      </c>
      <c r="Q271" s="39">
        <v>1</v>
      </c>
      <c r="R271" s="39"/>
      <c r="S271" s="39" t="s">
        <v>294</v>
      </c>
      <c r="T271" s="29"/>
      <c r="U271" s="29"/>
      <c r="V271" s="29"/>
      <c r="W271" s="29"/>
      <c r="X271" s="29"/>
      <c r="Y271" s="29">
        <v>99513655</v>
      </c>
      <c r="Z271" s="29">
        <f t="shared" si="5"/>
        <v>99513655</v>
      </c>
      <c r="AA271" s="42" t="s">
        <v>419</v>
      </c>
      <c r="AB271" s="39" t="s">
        <v>410</v>
      </c>
      <c r="AC271" s="39"/>
      <c r="AD271" s="39"/>
      <c r="AE271" s="39"/>
      <c r="AF271" s="17"/>
      <c r="AG271" s="17"/>
      <c r="AH271" s="17">
        <v>10000000</v>
      </c>
    </row>
    <row r="272" spans="1:34" ht="57">
      <c r="A272" s="40"/>
      <c r="B272" s="40"/>
      <c r="C272" s="42"/>
      <c r="D272" s="42"/>
      <c r="E272" s="42"/>
      <c r="F272" s="43"/>
      <c r="G272" s="42"/>
      <c r="H272" s="42" t="s">
        <v>772</v>
      </c>
      <c r="I272" s="39" t="s">
        <v>774</v>
      </c>
      <c r="J272" s="39" t="s">
        <v>1018</v>
      </c>
      <c r="K272" s="39">
        <v>0</v>
      </c>
      <c r="L272" s="39">
        <v>1</v>
      </c>
      <c r="M272" s="39" t="s">
        <v>627</v>
      </c>
      <c r="N272" s="39">
        <v>0</v>
      </c>
      <c r="O272" s="39">
        <v>0.5</v>
      </c>
      <c r="P272" s="39">
        <v>0.75</v>
      </c>
      <c r="Q272" s="39">
        <v>1</v>
      </c>
      <c r="R272" s="39"/>
      <c r="S272" s="39" t="s">
        <v>294</v>
      </c>
      <c r="T272" s="29"/>
      <c r="U272" s="29"/>
      <c r="V272" s="29"/>
      <c r="W272" s="29"/>
      <c r="X272" s="29"/>
      <c r="Y272" s="29"/>
      <c r="Z272" s="29">
        <f t="shared" si="5"/>
        <v>0</v>
      </c>
      <c r="AA272" s="42"/>
      <c r="AB272" s="39" t="s">
        <v>409</v>
      </c>
      <c r="AC272" s="39"/>
      <c r="AD272" s="39"/>
      <c r="AE272" s="39"/>
      <c r="AF272" s="17"/>
      <c r="AG272" s="17"/>
      <c r="AH272" s="17">
        <v>1000000</v>
      </c>
    </row>
    <row r="273" spans="1:34" ht="28.5">
      <c r="A273" s="40"/>
      <c r="B273" s="40"/>
      <c r="C273" s="42"/>
      <c r="D273" s="42"/>
      <c r="E273" s="42"/>
      <c r="F273" s="42"/>
      <c r="G273" s="42"/>
      <c r="H273" s="42"/>
      <c r="I273" s="39" t="s">
        <v>775</v>
      </c>
      <c r="J273" s="39" t="s">
        <v>1019</v>
      </c>
      <c r="K273" s="39">
        <v>364</v>
      </c>
      <c r="L273" s="19">
        <f>+K273*1.1</f>
        <v>400.40000000000003</v>
      </c>
      <c r="M273" s="39" t="s">
        <v>627</v>
      </c>
      <c r="N273" s="39">
        <v>0</v>
      </c>
      <c r="O273" s="39">
        <v>0</v>
      </c>
      <c r="P273" s="19">
        <f>+K273*1.05</f>
        <v>382.2</v>
      </c>
      <c r="Q273" s="19">
        <f>+P273*1.05</f>
        <v>401.31</v>
      </c>
      <c r="R273" s="19"/>
      <c r="S273" s="39" t="s">
        <v>294</v>
      </c>
      <c r="T273" s="29"/>
      <c r="U273" s="29"/>
      <c r="V273" s="29"/>
      <c r="W273" s="29"/>
      <c r="X273" s="29"/>
      <c r="Y273" s="29"/>
      <c r="Z273" s="29">
        <f t="shared" si="5"/>
        <v>0</v>
      </c>
      <c r="AA273" s="42"/>
      <c r="AB273" s="39" t="s">
        <v>420</v>
      </c>
      <c r="AC273" s="39"/>
      <c r="AD273" s="39"/>
      <c r="AE273" s="39"/>
      <c r="AF273" s="17"/>
      <c r="AG273" s="17"/>
      <c r="AH273" s="17">
        <v>1000000</v>
      </c>
    </row>
    <row r="274" spans="1:34" ht="28.5">
      <c r="A274" s="40"/>
      <c r="B274" s="40"/>
      <c r="C274" s="42"/>
      <c r="D274" s="42"/>
      <c r="E274" s="42"/>
      <c r="F274" s="42"/>
      <c r="G274" s="42"/>
      <c r="H274" s="42"/>
      <c r="I274" s="42" t="s">
        <v>776</v>
      </c>
      <c r="J274" s="39" t="s">
        <v>1020</v>
      </c>
      <c r="K274" s="39">
        <v>16</v>
      </c>
      <c r="L274" s="39">
        <v>22</v>
      </c>
      <c r="M274" s="39" t="s">
        <v>627</v>
      </c>
      <c r="N274" s="39">
        <v>0</v>
      </c>
      <c r="O274" s="39">
        <v>0</v>
      </c>
      <c r="P274" s="39">
        <v>19</v>
      </c>
      <c r="Q274" s="39">
        <v>22</v>
      </c>
      <c r="R274" s="39"/>
      <c r="S274" s="39" t="s">
        <v>294</v>
      </c>
      <c r="T274" s="41"/>
      <c r="U274" s="41"/>
      <c r="V274" s="41"/>
      <c r="W274" s="41"/>
      <c r="X274" s="41"/>
      <c r="Y274" s="41"/>
      <c r="Z274" s="41">
        <f t="shared" si="5"/>
        <v>0</v>
      </c>
      <c r="AA274" s="42"/>
      <c r="AB274" s="39" t="s">
        <v>420</v>
      </c>
      <c r="AC274" s="39"/>
      <c r="AD274" s="39"/>
      <c r="AE274" s="39"/>
      <c r="AF274" s="99"/>
      <c r="AG274" s="17"/>
      <c r="AH274" s="17">
        <v>10000000</v>
      </c>
    </row>
    <row r="275" spans="1:34" ht="28.5">
      <c r="A275" s="40"/>
      <c r="B275" s="40"/>
      <c r="C275" s="42"/>
      <c r="D275" s="42"/>
      <c r="E275" s="42"/>
      <c r="F275" s="42"/>
      <c r="G275" s="42"/>
      <c r="H275" s="42"/>
      <c r="I275" s="42"/>
      <c r="J275" s="39" t="s">
        <v>624</v>
      </c>
      <c r="K275" s="39">
        <v>8</v>
      </c>
      <c r="L275" s="39">
        <v>12</v>
      </c>
      <c r="M275" s="39" t="s">
        <v>627</v>
      </c>
      <c r="N275" s="39">
        <v>0</v>
      </c>
      <c r="O275" s="39">
        <v>0</v>
      </c>
      <c r="P275" s="39">
        <v>10</v>
      </c>
      <c r="Q275" s="39">
        <v>12</v>
      </c>
      <c r="R275" s="39"/>
      <c r="S275" s="39" t="s">
        <v>294</v>
      </c>
      <c r="T275" s="41"/>
      <c r="U275" s="41"/>
      <c r="V275" s="41"/>
      <c r="W275" s="41"/>
      <c r="X275" s="41"/>
      <c r="Y275" s="41"/>
      <c r="Z275" s="41">
        <f t="shared" si="5"/>
        <v>0</v>
      </c>
      <c r="AA275" s="42"/>
      <c r="AB275" s="39" t="s">
        <v>420</v>
      </c>
      <c r="AC275" s="39"/>
      <c r="AD275" s="39"/>
      <c r="AE275" s="39"/>
      <c r="AF275" s="99"/>
      <c r="AG275" s="17"/>
      <c r="AH275" s="17">
        <v>10000000</v>
      </c>
    </row>
    <row r="276" spans="1:34">
      <c r="A276" s="40"/>
      <c r="B276" s="40"/>
      <c r="C276" s="42" t="s">
        <v>235</v>
      </c>
      <c r="D276" s="42" t="s">
        <v>603</v>
      </c>
      <c r="E276" s="42" t="s">
        <v>188</v>
      </c>
      <c r="F276" s="43" t="s">
        <v>275</v>
      </c>
      <c r="G276" s="42" t="s">
        <v>59</v>
      </c>
      <c r="H276" s="42" t="s">
        <v>199</v>
      </c>
      <c r="I276" s="42" t="s">
        <v>777</v>
      </c>
      <c r="J276" s="39" t="s">
        <v>1021</v>
      </c>
      <c r="K276" s="39">
        <v>0</v>
      </c>
      <c r="L276" s="39">
        <v>1</v>
      </c>
      <c r="M276" s="39" t="s">
        <v>627</v>
      </c>
      <c r="N276" s="39">
        <v>0.25</v>
      </c>
      <c r="O276" s="39">
        <v>0.5</v>
      </c>
      <c r="P276" s="39">
        <v>0.75</v>
      </c>
      <c r="Q276" s="39">
        <v>1</v>
      </c>
      <c r="R276" s="39"/>
      <c r="S276" s="39" t="s">
        <v>294</v>
      </c>
      <c r="T276" s="29"/>
      <c r="U276" s="29"/>
      <c r="V276" s="29"/>
      <c r="W276" s="29"/>
      <c r="X276" s="29"/>
      <c r="Y276" s="29">
        <v>400000000</v>
      </c>
      <c r="Z276" s="29">
        <f t="shared" si="5"/>
        <v>400000000</v>
      </c>
      <c r="AA276" s="47" t="s">
        <v>199</v>
      </c>
      <c r="AB276" s="39" t="s">
        <v>408</v>
      </c>
      <c r="AC276" s="39"/>
      <c r="AD276" s="39"/>
      <c r="AE276" s="39"/>
      <c r="AF276" s="17"/>
      <c r="AG276" s="17"/>
      <c r="AH276" s="17">
        <v>40000000</v>
      </c>
    </row>
    <row r="277" spans="1:34" ht="28.5">
      <c r="A277" s="40"/>
      <c r="B277" s="40"/>
      <c r="C277" s="42"/>
      <c r="D277" s="42"/>
      <c r="E277" s="42"/>
      <c r="F277" s="42"/>
      <c r="G277" s="42"/>
      <c r="H277" s="42"/>
      <c r="I277" s="42"/>
      <c r="J277" s="39" t="s">
        <v>1022</v>
      </c>
      <c r="K277" s="39">
        <v>4</v>
      </c>
      <c r="L277" s="39">
        <v>9</v>
      </c>
      <c r="M277" s="39" t="s">
        <v>627</v>
      </c>
      <c r="N277" s="39">
        <v>5</v>
      </c>
      <c r="O277" s="39">
        <v>6</v>
      </c>
      <c r="P277" s="39">
        <v>7</v>
      </c>
      <c r="Q277" s="39">
        <v>9</v>
      </c>
      <c r="R277" s="39"/>
      <c r="S277" s="39" t="s">
        <v>294</v>
      </c>
      <c r="T277" s="29"/>
      <c r="U277" s="29"/>
      <c r="V277" s="29"/>
      <c r="W277" s="29"/>
      <c r="X277" s="29"/>
      <c r="Y277" s="29">
        <v>800000000</v>
      </c>
      <c r="Z277" s="29">
        <f t="shared" si="5"/>
        <v>800000000</v>
      </c>
      <c r="AA277" s="48"/>
      <c r="AB277" s="39" t="s">
        <v>411</v>
      </c>
      <c r="AC277" s="39"/>
      <c r="AD277" s="39"/>
      <c r="AE277" s="39"/>
      <c r="AF277" s="17"/>
      <c r="AG277" s="17"/>
      <c r="AH277" s="17">
        <v>36000000</v>
      </c>
    </row>
    <row r="278" spans="1:34" ht="28.5">
      <c r="A278" s="40"/>
      <c r="B278" s="40"/>
      <c r="C278" s="42"/>
      <c r="D278" s="42"/>
      <c r="E278" s="42"/>
      <c r="F278" s="42"/>
      <c r="G278" s="42"/>
      <c r="H278" s="42"/>
      <c r="I278" s="42"/>
      <c r="J278" s="39" t="s">
        <v>1023</v>
      </c>
      <c r="K278" s="39">
        <v>0</v>
      </c>
      <c r="L278" s="39">
        <v>1</v>
      </c>
      <c r="M278" s="39" t="s">
        <v>627</v>
      </c>
      <c r="N278" s="39">
        <v>0.25</v>
      </c>
      <c r="O278" s="39">
        <v>0.5</v>
      </c>
      <c r="P278" s="39">
        <v>0.75</v>
      </c>
      <c r="Q278" s="39">
        <v>1</v>
      </c>
      <c r="R278" s="39"/>
      <c r="S278" s="39" t="s">
        <v>294</v>
      </c>
      <c r="T278" s="29"/>
      <c r="U278" s="29"/>
      <c r="V278" s="29"/>
      <c r="W278" s="29"/>
      <c r="X278" s="29"/>
      <c r="Y278" s="29">
        <v>1000000000</v>
      </c>
      <c r="Z278" s="29">
        <f t="shared" si="5"/>
        <v>1000000000</v>
      </c>
      <c r="AA278" s="48"/>
      <c r="AB278" s="39" t="s">
        <v>412</v>
      </c>
      <c r="AC278" s="39"/>
      <c r="AD278" s="39"/>
      <c r="AE278" s="39"/>
      <c r="AF278" s="17"/>
      <c r="AG278" s="17"/>
      <c r="AH278" s="17">
        <v>200000000</v>
      </c>
    </row>
    <row r="279" spans="1:34" ht="28.5">
      <c r="A279" s="40"/>
      <c r="B279" s="40"/>
      <c r="C279" s="42"/>
      <c r="D279" s="42"/>
      <c r="E279" s="42"/>
      <c r="F279" s="42"/>
      <c r="G279" s="42"/>
      <c r="H279" s="42"/>
      <c r="I279" s="42"/>
      <c r="J279" s="39" t="s">
        <v>1024</v>
      </c>
      <c r="K279" s="39">
        <v>0</v>
      </c>
      <c r="L279" s="39">
        <v>1</v>
      </c>
      <c r="M279" s="39" t="s">
        <v>627</v>
      </c>
      <c r="N279" s="39">
        <v>0.25</v>
      </c>
      <c r="O279" s="39">
        <v>0.5</v>
      </c>
      <c r="P279" s="39">
        <v>0.75</v>
      </c>
      <c r="Q279" s="39">
        <v>1</v>
      </c>
      <c r="R279" s="39"/>
      <c r="S279" s="39" t="s">
        <v>294</v>
      </c>
      <c r="T279" s="29"/>
      <c r="U279" s="29"/>
      <c r="V279" s="29"/>
      <c r="W279" s="29"/>
      <c r="X279" s="29"/>
      <c r="Y279" s="29">
        <v>600000000</v>
      </c>
      <c r="Z279" s="29">
        <f t="shared" si="5"/>
        <v>600000000</v>
      </c>
      <c r="AA279" s="48"/>
      <c r="AB279" s="39" t="s">
        <v>413</v>
      </c>
      <c r="AC279" s="39"/>
      <c r="AD279" s="39"/>
      <c r="AE279" s="39"/>
      <c r="AF279" s="17"/>
      <c r="AG279" s="17"/>
      <c r="AH279" s="17">
        <v>20000000</v>
      </c>
    </row>
    <row r="280" spans="1:34">
      <c r="A280" s="40"/>
      <c r="B280" s="40"/>
      <c r="C280" s="42"/>
      <c r="D280" s="42"/>
      <c r="E280" s="42"/>
      <c r="F280" s="42"/>
      <c r="G280" s="42"/>
      <c r="H280" s="42"/>
      <c r="I280" s="42"/>
      <c r="J280" s="39" t="s">
        <v>1025</v>
      </c>
      <c r="K280" s="39">
        <v>41</v>
      </c>
      <c r="L280" s="39">
        <v>72</v>
      </c>
      <c r="M280" s="39" t="s">
        <v>627</v>
      </c>
      <c r="N280" s="39">
        <v>0</v>
      </c>
      <c r="O280" s="39">
        <v>51</v>
      </c>
      <c r="P280" s="39">
        <v>61</v>
      </c>
      <c r="Q280" s="39">
        <v>72</v>
      </c>
      <c r="R280" s="39"/>
      <c r="S280" s="39" t="s">
        <v>294</v>
      </c>
      <c r="T280" s="29">
        <v>1920000000</v>
      </c>
      <c r="U280" s="29"/>
      <c r="V280" s="29"/>
      <c r="W280" s="29"/>
      <c r="X280" s="29"/>
      <c r="Y280" s="29">
        <v>1920000000</v>
      </c>
      <c r="Z280" s="29">
        <f t="shared" si="5"/>
        <v>3840000000</v>
      </c>
      <c r="AA280" s="48"/>
      <c r="AB280" s="39" t="s">
        <v>414</v>
      </c>
      <c r="AC280" s="39"/>
      <c r="AD280" s="39"/>
      <c r="AE280" s="39"/>
      <c r="AF280" s="17"/>
      <c r="AG280" s="17"/>
      <c r="AH280" s="17">
        <v>567001827</v>
      </c>
    </row>
    <row r="281" spans="1:34">
      <c r="A281" s="40"/>
      <c r="B281" s="40"/>
      <c r="C281" s="42"/>
      <c r="D281" s="42"/>
      <c r="E281" s="42"/>
      <c r="F281" s="42"/>
      <c r="G281" s="42"/>
      <c r="H281" s="42"/>
      <c r="I281" s="42"/>
      <c r="J281" s="39" t="s">
        <v>1026</v>
      </c>
      <c r="K281" s="32">
        <v>1</v>
      </c>
      <c r="L281" s="32">
        <v>1</v>
      </c>
      <c r="M281" s="39" t="s">
        <v>628</v>
      </c>
      <c r="N281" s="32">
        <v>1</v>
      </c>
      <c r="O281" s="32">
        <v>1</v>
      </c>
      <c r="P281" s="32">
        <v>1</v>
      </c>
      <c r="Q281" s="32">
        <v>1</v>
      </c>
      <c r="R281" s="32"/>
      <c r="S281" s="39" t="s">
        <v>294</v>
      </c>
      <c r="T281" s="29"/>
      <c r="U281" s="29"/>
      <c r="V281" s="29"/>
      <c r="W281" s="29"/>
      <c r="X281" s="29"/>
      <c r="Y281" s="29">
        <v>150000000</v>
      </c>
      <c r="Z281" s="29">
        <f t="shared" si="5"/>
        <v>150000000</v>
      </c>
      <c r="AA281" s="48"/>
      <c r="AB281" s="39" t="s">
        <v>415</v>
      </c>
      <c r="AC281" s="39"/>
      <c r="AD281" s="39"/>
      <c r="AE281" s="39"/>
      <c r="AF281" s="17"/>
      <c r="AG281" s="17"/>
      <c r="AH281" s="17">
        <v>150000000</v>
      </c>
    </row>
    <row r="282" spans="1:34" ht="28.5">
      <c r="A282" s="40"/>
      <c r="B282" s="40"/>
      <c r="C282" s="42"/>
      <c r="D282" s="42"/>
      <c r="E282" s="42"/>
      <c r="F282" s="42"/>
      <c r="G282" s="42"/>
      <c r="H282" s="42"/>
      <c r="I282" s="39" t="s">
        <v>778</v>
      </c>
      <c r="J282" s="39" t="s">
        <v>1027</v>
      </c>
      <c r="K282" s="39">
        <v>0</v>
      </c>
      <c r="L282" s="39">
        <v>1</v>
      </c>
      <c r="M282" s="39" t="s">
        <v>627</v>
      </c>
      <c r="N282" s="39">
        <v>0</v>
      </c>
      <c r="O282" s="39">
        <v>0.25</v>
      </c>
      <c r="P282" s="39">
        <v>0.5</v>
      </c>
      <c r="Q282" s="39">
        <v>1</v>
      </c>
      <c r="R282" s="39"/>
      <c r="S282" s="39" t="s">
        <v>294</v>
      </c>
      <c r="T282" s="29">
        <v>1295884994</v>
      </c>
      <c r="U282" s="29"/>
      <c r="V282" s="29"/>
      <c r="W282" s="29"/>
      <c r="X282" s="29">
        <v>8000000000</v>
      </c>
      <c r="Y282" s="29">
        <v>73828726</v>
      </c>
      <c r="Z282" s="29">
        <f t="shared" si="5"/>
        <v>9369713720</v>
      </c>
      <c r="AA282" s="48"/>
      <c r="AB282" s="39" t="s">
        <v>416</v>
      </c>
      <c r="AC282" s="39"/>
      <c r="AD282" s="39"/>
      <c r="AE282" s="39"/>
      <c r="AF282" s="17"/>
      <c r="AG282" s="17"/>
      <c r="AH282" s="17">
        <v>200000000</v>
      </c>
    </row>
    <row r="283" spans="1:34" ht="57">
      <c r="A283" s="40"/>
      <c r="B283" s="40"/>
      <c r="C283" s="42"/>
      <c r="D283" s="42"/>
      <c r="E283" s="42"/>
      <c r="F283" s="42"/>
      <c r="G283" s="42"/>
      <c r="H283" s="42"/>
      <c r="I283" s="39" t="s">
        <v>779</v>
      </c>
      <c r="J283" s="39" t="s">
        <v>1028</v>
      </c>
      <c r="K283" s="39">
        <v>0</v>
      </c>
      <c r="L283" s="39">
        <v>1</v>
      </c>
      <c r="M283" s="39" t="s">
        <v>627</v>
      </c>
      <c r="N283" s="39">
        <v>0.5</v>
      </c>
      <c r="O283" s="39">
        <v>1</v>
      </c>
      <c r="P283" s="39">
        <v>0</v>
      </c>
      <c r="Q283" s="39">
        <v>0</v>
      </c>
      <c r="R283" s="39"/>
      <c r="S283" s="39" t="s">
        <v>294</v>
      </c>
      <c r="T283" s="29">
        <v>1500000000</v>
      </c>
      <c r="U283" s="29"/>
      <c r="V283" s="29"/>
      <c r="W283" s="29"/>
      <c r="X283" s="29"/>
      <c r="Y283" s="29"/>
      <c r="Z283" s="29">
        <f t="shared" si="5"/>
        <v>1500000000</v>
      </c>
      <c r="AA283" s="49"/>
      <c r="AB283" s="39" t="s">
        <v>417</v>
      </c>
      <c r="AC283" s="39"/>
      <c r="AD283" s="39"/>
      <c r="AE283" s="39"/>
      <c r="AF283" s="17"/>
      <c r="AG283" s="17"/>
      <c r="AH283" s="17">
        <v>50000000</v>
      </c>
    </row>
    <row r="284" spans="1:34" ht="354.75">
      <c r="A284" s="40" t="s">
        <v>99</v>
      </c>
      <c r="B284" s="37" t="s">
        <v>132</v>
      </c>
      <c r="C284" s="26" t="s">
        <v>236</v>
      </c>
      <c r="D284" s="26" t="s">
        <v>604</v>
      </c>
      <c r="E284" s="39" t="s">
        <v>133</v>
      </c>
      <c r="F284" s="26" t="s">
        <v>276</v>
      </c>
      <c r="G284" s="26" t="s">
        <v>277</v>
      </c>
      <c r="H284" s="39" t="s">
        <v>134</v>
      </c>
      <c r="I284" s="39" t="s">
        <v>135</v>
      </c>
      <c r="J284" s="39" t="s">
        <v>1029</v>
      </c>
      <c r="K284" s="39">
        <v>0</v>
      </c>
      <c r="L284" s="39">
        <v>33</v>
      </c>
      <c r="M284" s="39" t="s">
        <v>627</v>
      </c>
      <c r="N284" s="39">
        <v>5</v>
      </c>
      <c r="O284" s="39">
        <v>15</v>
      </c>
      <c r="P284" s="39">
        <v>25</v>
      </c>
      <c r="Q284" s="39">
        <v>33</v>
      </c>
      <c r="R284" s="39">
        <v>5</v>
      </c>
      <c r="S284" s="39" t="s">
        <v>287</v>
      </c>
      <c r="T284" s="29">
        <f>521000000+360100000+404800000+440800000</f>
        <v>1726700000</v>
      </c>
      <c r="U284" s="29"/>
      <c r="V284" s="29">
        <v>1000000</v>
      </c>
      <c r="W284" s="29"/>
      <c r="X284" s="29"/>
      <c r="Y284" s="29"/>
      <c r="Z284" s="29">
        <f t="shared" si="5"/>
        <v>1727700000</v>
      </c>
      <c r="AA284" s="39" t="s">
        <v>509</v>
      </c>
      <c r="AB284" s="39" t="s">
        <v>516</v>
      </c>
      <c r="AC284" s="39" t="s">
        <v>1090</v>
      </c>
      <c r="AD284" s="39" t="s">
        <v>1091</v>
      </c>
      <c r="AE284" s="39"/>
      <c r="AF284" s="17"/>
      <c r="AG284" s="17"/>
      <c r="AH284" s="17">
        <v>863350000</v>
      </c>
    </row>
    <row r="285" spans="1:34" ht="42.75">
      <c r="A285" s="40"/>
      <c r="B285" s="40" t="s">
        <v>38</v>
      </c>
      <c r="C285" s="47" t="s">
        <v>556</v>
      </c>
      <c r="D285" s="47" t="s">
        <v>605</v>
      </c>
      <c r="E285" s="42" t="s">
        <v>156</v>
      </c>
      <c r="F285" s="47" t="s">
        <v>557</v>
      </c>
      <c r="G285" s="47" t="s">
        <v>558</v>
      </c>
      <c r="H285" s="42" t="s">
        <v>157</v>
      </c>
      <c r="I285" s="42" t="s">
        <v>559</v>
      </c>
      <c r="J285" s="39" t="s">
        <v>1030</v>
      </c>
      <c r="K285" s="39">
        <v>0</v>
      </c>
      <c r="L285" s="39">
        <v>1</v>
      </c>
      <c r="M285" s="39" t="s">
        <v>627</v>
      </c>
      <c r="N285" s="39">
        <v>0.6</v>
      </c>
      <c r="O285" s="39">
        <v>1</v>
      </c>
      <c r="P285" s="39">
        <v>0</v>
      </c>
      <c r="Q285" s="39">
        <v>0</v>
      </c>
      <c r="R285" s="39">
        <v>0.6</v>
      </c>
      <c r="S285" s="32" t="s">
        <v>287</v>
      </c>
      <c r="T285" s="44">
        <v>862800000</v>
      </c>
      <c r="U285" s="44"/>
      <c r="V285" s="44">
        <v>1000000</v>
      </c>
      <c r="W285" s="44"/>
      <c r="X285" s="44">
        <v>5000000000</v>
      </c>
      <c r="Y285" s="44">
        <v>1674962040</v>
      </c>
      <c r="Z285" s="44">
        <f t="shared" si="5"/>
        <v>7538762040</v>
      </c>
      <c r="AA285" s="42" t="s">
        <v>780</v>
      </c>
      <c r="AB285" s="39" t="s">
        <v>548</v>
      </c>
      <c r="AC285" s="39" t="s">
        <v>1084</v>
      </c>
      <c r="AD285" s="39" t="s">
        <v>1083</v>
      </c>
      <c r="AE285" s="39"/>
      <c r="AF285" s="17">
        <v>151500000</v>
      </c>
      <c r="AG285" s="17">
        <v>151500000</v>
      </c>
      <c r="AH285" s="17">
        <v>352000000</v>
      </c>
    </row>
    <row r="286" spans="1:34" ht="57">
      <c r="A286" s="40"/>
      <c r="B286" s="40"/>
      <c r="C286" s="48"/>
      <c r="D286" s="48"/>
      <c r="E286" s="42"/>
      <c r="F286" s="48"/>
      <c r="G286" s="48"/>
      <c r="H286" s="42"/>
      <c r="I286" s="42"/>
      <c r="J286" s="39" t="s">
        <v>560</v>
      </c>
      <c r="K286" s="39">
        <v>0</v>
      </c>
      <c r="L286" s="39">
        <v>20</v>
      </c>
      <c r="M286" s="39" t="s">
        <v>627</v>
      </c>
      <c r="N286" s="39">
        <v>5</v>
      </c>
      <c r="O286" s="39">
        <v>10</v>
      </c>
      <c r="P286" s="39">
        <v>15</v>
      </c>
      <c r="Q286" s="39">
        <v>20</v>
      </c>
      <c r="R286" s="39">
        <v>1</v>
      </c>
      <c r="S286" s="32" t="s">
        <v>287</v>
      </c>
      <c r="T286" s="45"/>
      <c r="U286" s="45"/>
      <c r="V286" s="45"/>
      <c r="W286" s="45"/>
      <c r="X286" s="45"/>
      <c r="Y286" s="45"/>
      <c r="Z286" s="45">
        <f t="shared" si="5"/>
        <v>0</v>
      </c>
      <c r="AA286" s="42"/>
      <c r="AB286" s="39" t="s">
        <v>625</v>
      </c>
      <c r="AC286" s="39" t="s">
        <v>1085</v>
      </c>
      <c r="AD286" s="39" t="s">
        <v>1086</v>
      </c>
      <c r="AE286" s="39" t="s">
        <v>1087</v>
      </c>
      <c r="AF286" s="99">
        <f>101340000+18000000</f>
        <v>119340000</v>
      </c>
      <c r="AG286" s="99">
        <f>101340000+18000000</f>
        <v>119340000</v>
      </c>
      <c r="AH286" s="17">
        <v>211200000</v>
      </c>
    </row>
    <row r="287" spans="1:34" ht="42.75">
      <c r="A287" s="40"/>
      <c r="B287" s="40"/>
      <c r="C287" s="49"/>
      <c r="D287" s="49"/>
      <c r="E287" s="42"/>
      <c r="F287" s="49"/>
      <c r="G287" s="49"/>
      <c r="H287" s="42"/>
      <c r="I287" s="42"/>
      <c r="J287" s="39" t="s">
        <v>1031</v>
      </c>
      <c r="K287" s="39">
        <v>1</v>
      </c>
      <c r="L287" s="39">
        <v>7</v>
      </c>
      <c r="M287" s="39" t="s">
        <v>627</v>
      </c>
      <c r="N287" s="39">
        <v>0</v>
      </c>
      <c r="O287" s="39">
        <v>3</v>
      </c>
      <c r="P287" s="39">
        <v>5</v>
      </c>
      <c r="Q287" s="39">
        <v>7</v>
      </c>
      <c r="R287" s="39"/>
      <c r="S287" s="32" t="s">
        <v>287</v>
      </c>
      <c r="T287" s="46"/>
      <c r="U287" s="46"/>
      <c r="V287" s="46"/>
      <c r="W287" s="46"/>
      <c r="X287" s="46"/>
      <c r="Y287" s="46"/>
      <c r="Z287" s="46">
        <f t="shared" si="5"/>
        <v>0</v>
      </c>
      <c r="AA287" s="42"/>
      <c r="AB287" s="39" t="s">
        <v>301</v>
      </c>
      <c r="AC287" s="39"/>
      <c r="AD287" s="39"/>
      <c r="AE287" s="39"/>
      <c r="AF287" s="99"/>
      <c r="AG287" s="99"/>
      <c r="AH287" s="17">
        <v>150000000</v>
      </c>
    </row>
    <row r="288" spans="1:34" ht="28.5">
      <c r="A288" s="40"/>
      <c r="B288" s="40" t="s">
        <v>36</v>
      </c>
      <c r="C288" s="47" t="s">
        <v>140</v>
      </c>
      <c r="D288" s="47" t="s">
        <v>606</v>
      </c>
      <c r="E288" s="42" t="s">
        <v>138</v>
      </c>
      <c r="F288" s="47" t="s">
        <v>136</v>
      </c>
      <c r="G288" s="47" t="s">
        <v>137</v>
      </c>
      <c r="H288" s="42" t="s">
        <v>139</v>
      </c>
      <c r="I288" s="42" t="s">
        <v>228</v>
      </c>
      <c r="J288" s="39" t="s">
        <v>1032</v>
      </c>
      <c r="K288" s="39">
        <v>0</v>
      </c>
      <c r="L288" s="39">
        <v>3</v>
      </c>
      <c r="M288" s="39" t="s">
        <v>627</v>
      </c>
      <c r="N288" s="39">
        <v>0</v>
      </c>
      <c r="O288" s="39">
        <v>1</v>
      </c>
      <c r="P288" s="39">
        <v>2</v>
      </c>
      <c r="Q288" s="39">
        <v>3</v>
      </c>
      <c r="R288" s="39"/>
      <c r="S288" s="32" t="s">
        <v>287</v>
      </c>
      <c r="T288" s="44"/>
      <c r="U288" s="44"/>
      <c r="V288" s="44">
        <v>1000000</v>
      </c>
      <c r="W288" s="44">
        <v>1000000</v>
      </c>
      <c r="X288" s="44">
        <v>8000000000</v>
      </c>
      <c r="Y288" s="44"/>
      <c r="Z288" s="44">
        <f t="shared" si="5"/>
        <v>8002000000</v>
      </c>
      <c r="AA288" s="42" t="s">
        <v>300</v>
      </c>
      <c r="AB288" s="39" t="s">
        <v>517</v>
      </c>
      <c r="AC288" s="39"/>
      <c r="AD288" s="39"/>
      <c r="AE288" s="39"/>
      <c r="AF288" s="99"/>
      <c r="AG288" s="99"/>
      <c r="AH288" s="17">
        <v>100000000</v>
      </c>
    </row>
    <row r="289" spans="1:34" ht="213.75">
      <c r="A289" s="40"/>
      <c r="B289" s="40"/>
      <c r="C289" s="48"/>
      <c r="D289" s="48"/>
      <c r="E289" s="42"/>
      <c r="F289" s="48"/>
      <c r="G289" s="48"/>
      <c r="H289" s="42"/>
      <c r="I289" s="42"/>
      <c r="J289" s="39" t="s">
        <v>1033</v>
      </c>
      <c r="K289" s="39">
        <v>0</v>
      </c>
      <c r="L289" s="39">
        <v>1</v>
      </c>
      <c r="M289" s="39" t="s">
        <v>627</v>
      </c>
      <c r="N289" s="39" t="s">
        <v>505</v>
      </c>
      <c r="O289" s="39">
        <v>1</v>
      </c>
      <c r="P289" s="39">
        <v>0</v>
      </c>
      <c r="Q289" s="39">
        <v>0</v>
      </c>
      <c r="R289" s="39">
        <v>0.25</v>
      </c>
      <c r="S289" s="32" t="s">
        <v>284</v>
      </c>
      <c r="T289" s="45"/>
      <c r="U289" s="45"/>
      <c r="V289" s="45"/>
      <c r="W289" s="45"/>
      <c r="X289" s="45"/>
      <c r="Y289" s="45"/>
      <c r="Z289" s="45">
        <f t="shared" si="5"/>
        <v>0</v>
      </c>
      <c r="AA289" s="42"/>
      <c r="AB289" s="39" t="s">
        <v>518</v>
      </c>
      <c r="AC289" s="39" t="s">
        <v>1299</v>
      </c>
      <c r="AD289" s="39" t="s">
        <v>1300</v>
      </c>
      <c r="AE289" s="86"/>
      <c r="AF289" s="99">
        <v>36000000</v>
      </c>
      <c r="AG289" s="101">
        <v>36000000</v>
      </c>
      <c r="AH289" s="17">
        <v>81000000</v>
      </c>
    </row>
    <row r="290" spans="1:34" ht="28.5">
      <c r="A290" s="40"/>
      <c r="B290" s="40"/>
      <c r="C290" s="49"/>
      <c r="D290" s="49"/>
      <c r="E290" s="42"/>
      <c r="F290" s="49"/>
      <c r="G290" s="49"/>
      <c r="H290" s="42"/>
      <c r="I290" s="42"/>
      <c r="J290" s="39" t="s">
        <v>1034</v>
      </c>
      <c r="K290" s="39">
        <v>0</v>
      </c>
      <c r="L290" s="39">
        <v>1</v>
      </c>
      <c r="M290" s="39" t="s">
        <v>627</v>
      </c>
      <c r="N290" s="39">
        <v>0</v>
      </c>
      <c r="O290" s="39">
        <v>0.2</v>
      </c>
      <c r="P290" s="39">
        <v>0.6</v>
      </c>
      <c r="Q290" s="39">
        <v>1</v>
      </c>
      <c r="R290" s="39"/>
      <c r="S290" s="32" t="s">
        <v>287</v>
      </c>
      <c r="T290" s="46"/>
      <c r="U290" s="46"/>
      <c r="V290" s="46"/>
      <c r="W290" s="46"/>
      <c r="X290" s="46"/>
      <c r="Y290" s="46"/>
      <c r="Z290" s="46">
        <f t="shared" si="5"/>
        <v>0</v>
      </c>
      <c r="AA290" s="42"/>
      <c r="AB290" s="39" t="s">
        <v>547</v>
      </c>
      <c r="AC290" s="14"/>
      <c r="AD290" s="14"/>
      <c r="AE290" s="14"/>
      <c r="AF290" s="99"/>
      <c r="AG290" s="99"/>
      <c r="AH290" s="17">
        <v>916321334</v>
      </c>
    </row>
    <row r="291" spans="1:34">
      <c r="A291" s="12"/>
      <c r="B291" s="12"/>
      <c r="C291" s="7"/>
      <c r="D291" s="7"/>
      <c r="E291" s="7"/>
      <c r="F291" s="7"/>
      <c r="G291" s="7"/>
      <c r="H291" s="7"/>
      <c r="I291" s="7"/>
      <c r="J291" s="18"/>
      <c r="K291" s="7"/>
      <c r="L291" s="7"/>
      <c r="M291" s="7"/>
      <c r="N291" s="7"/>
      <c r="O291" s="7"/>
      <c r="P291" s="7"/>
      <c r="Q291" s="7"/>
      <c r="R291" s="7"/>
      <c r="S291" s="32" t="s">
        <v>638</v>
      </c>
      <c r="T291" s="38"/>
      <c r="U291" s="38"/>
      <c r="V291" s="38"/>
      <c r="W291" s="38"/>
      <c r="X291" s="38"/>
      <c r="Y291" s="38"/>
      <c r="Z291" s="30">
        <f t="shared" si="5"/>
        <v>0</v>
      </c>
      <c r="AA291" s="39" t="s">
        <v>639</v>
      </c>
      <c r="AB291" s="39"/>
      <c r="AC291" s="39" t="s">
        <v>1336</v>
      </c>
      <c r="AD291" s="39"/>
      <c r="AE291" s="39"/>
      <c r="AF291" s="99"/>
      <c r="AG291" s="99"/>
      <c r="AH291" s="17">
        <v>527314071</v>
      </c>
    </row>
    <row r="292" spans="1:34">
      <c r="A292" s="12"/>
      <c r="B292" s="12"/>
      <c r="C292" s="7"/>
      <c r="D292" s="7"/>
      <c r="E292" s="7"/>
      <c r="F292" s="7"/>
      <c r="G292" s="7"/>
      <c r="H292" s="7"/>
      <c r="I292" s="7"/>
      <c r="J292" s="18"/>
      <c r="K292" s="7"/>
      <c r="L292" s="7"/>
      <c r="M292" s="7"/>
      <c r="N292" s="7"/>
      <c r="O292" s="7"/>
      <c r="P292" s="7"/>
      <c r="Q292" s="7"/>
      <c r="R292" s="7"/>
      <c r="S292" s="32" t="s">
        <v>41</v>
      </c>
      <c r="T292" s="38"/>
      <c r="U292" s="38"/>
      <c r="V292" s="38"/>
      <c r="W292" s="38"/>
      <c r="X292" s="38"/>
      <c r="Y292" s="38"/>
      <c r="Z292" s="30">
        <f t="shared" si="5"/>
        <v>0</v>
      </c>
      <c r="AA292" s="39" t="s">
        <v>639</v>
      </c>
      <c r="AB292" s="14"/>
      <c r="AC292" s="39" t="s">
        <v>1336</v>
      </c>
      <c r="AD292" s="14"/>
      <c r="AE292" s="14"/>
      <c r="AF292" s="17"/>
      <c r="AG292" s="17"/>
      <c r="AH292" s="17">
        <v>1200860764</v>
      </c>
    </row>
    <row r="293" spans="1:34" s="25" customFormat="1" ht="28.5" customHeight="1" thickBot="1">
      <c r="B293" s="5"/>
      <c r="C293" s="35"/>
      <c r="D293" s="35"/>
      <c r="E293" s="35"/>
      <c r="F293" s="35"/>
      <c r="G293" s="35"/>
      <c r="H293" s="35"/>
      <c r="I293" s="35"/>
      <c r="J293" s="35"/>
      <c r="K293" s="35"/>
      <c r="L293" s="35"/>
      <c r="M293" s="35"/>
      <c r="N293" s="35"/>
      <c r="O293" s="35"/>
      <c r="P293" s="35"/>
      <c r="Q293" s="35"/>
      <c r="R293" s="35"/>
      <c r="S293" s="35"/>
      <c r="T293" s="97">
        <f t="shared" ref="T293:Y293" si="6">SUM(T10:T290)</f>
        <v>107018700000.41646</v>
      </c>
      <c r="U293" s="97">
        <f t="shared" si="6"/>
        <v>418086099999.75879</v>
      </c>
      <c r="V293" s="97">
        <f t="shared" si="6"/>
        <v>3000000</v>
      </c>
      <c r="W293" s="97">
        <f t="shared" si="6"/>
        <v>3000000</v>
      </c>
      <c r="X293" s="97">
        <f t="shared" si="6"/>
        <v>50000000000</v>
      </c>
      <c r="Y293" s="97">
        <f t="shared" si="6"/>
        <v>161161902000</v>
      </c>
      <c r="Z293" s="97">
        <f t="shared" si="5"/>
        <v>736272702000.17529</v>
      </c>
      <c r="AA293" s="35"/>
      <c r="AB293" s="35"/>
      <c r="AC293" s="35"/>
      <c r="AD293" s="35"/>
      <c r="AE293" s="35"/>
      <c r="AF293" s="35"/>
      <c r="AG293" s="35"/>
      <c r="AH293" s="97">
        <f>SUM(AH10:AH292)</f>
        <v>162215332399.19</v>
      </c>
    </row>
    <row r="294" spans="1:34" ht="15.75" thickTop="1">
      <c r="S294" s="4"/>
    </row>
    <row r="295" spans="1:34">
      <c r="S295" s="4"/>
      <c r="T295" s="13"/>
      <c r="U295" s="13"/>
      <c r="V295" s="13"/>
      <c r="W295" s="13"/>
      <c r="X295" s="13"/>
      <c r="Y295" s="13"/>
      <c r="Z295" s="13"/>
    </row>
  </sheetData>
  <sheetProtection password="971E" sheet="1" objects="1" scenarios="1" selectLockedCells="1" selectUnlockedCells="1"/>
  <autoFilter ref="A9:AH293"/>
  <mergeCells count="653">
    <mergeCell ref="A1:AH1"/>
    <mergeCell ref="A2:AH2"/>
    <mergeCell ref="A3:AH3"/>
    <mergeCell ref="R8:R9"/>
    <mergeCell ref="A6:AB6"/>
    <mergeCell ref="N8:Q8"/>
    <mergeCell ref="AA7:AA9"/>
    <mergeCell ref="AB7:AB9"/>
    <mergeCell ref="AC6:AH6"/>
    <mergeCell ref="AC7:AC9"/>
    <mergeCell ref="AD7:AD9"/>
    <mergeCell ref="AE7:AE9"/>
    <mergeCell ref="AA33:AA47"/>
    <mergeCell ref="AA48:AA59"/>
    <mergeCell ref="AA60:AA62"/>
    <mergeCell ref="AA63:AA64"/>
    <mergeCell ref="AA65:AA69"/>
    <mergeCell ref="AA70:AA74"/>
    <mergeCell ref="AA75:AA78"/>
    <mergeCell ref="AA79:AA81"/>
    <mergeCell ref="Z274:Z275"/>
    <mergeCell ref="Z105:Z106"/>
    <mergeCell ref="Z25:Z26"/>
    <mergeCell ref="Z207:Z208"/>
    <mergeCell ref="Z219:Z220"/>
    <mergeCell ref="Z226:Z227"/>
    <mergeCell ref="Z233:Z234"/>
    <mergeCell ref="Z237:Z238"/>
    <mergeCell ref="Z29:Z30"/>
    <mergeCell ref="Z46:Z47"/>
    <mergeCell ref="Z48:Z49"/>
    <mergeCell ref="Z50:Z52"/>
    <mergeCell ref="Z53:Z57"/>
    <mergeCell ref="Z58:Z59"/>
    <mergeCell ref="Z60:Z62"/>
    <mergeCell ref="Z66:Z69"/>
    <mergeCell ref="Z70:Z74"/>
    <mergeCell ref="Z120:Z122"/>
    <mergeCell ref="Z151:Z152"/>
    <mergeCell ref="Z157:Z158"/>
    <mergeCell ref="Z160:Z161"/>
    <mergeCell ref="Z162:Z163"/>
    <mergeCell ref="Z165:Z166"/>
    <mergeCell ref="Z167:Z172"/>
    <mergeCell ref="AA82:AA93"/>
    <mergeCell ref="AA94:AA95"/>
    <mergeCell ref="AA96:AA98"/>
    <mergeCell ref="AA100:AA102"/>
    <mergeCell ref="AA103:AA104"/>
    <mergeCell ref="AA105:AA116"/>
    <mergeCell ref="AA117:AA119"/>
    <mergeCell ref="AA120:AA133"/>
    <mergeCell ref="AA134:AA141"/>
    <mergeCell ref="AA142:AA152"/>
    <mergeCell ref="AA153:AA156"/>
    <mergeCell ref="AA157:AA159"/>
    <mergeCell ref="AA160:AA172"/>
    <mergeCell ref="Z117:Z119"/>
    <mergeCell ref="Z176:Z179"/>
    <mergeCell ref="Z180:Z181"/>
    <mergeCell ref="Z192:Z195"/>
    <mergeCell ref="Z197:Z201"/>
    <mergeCell ref="Z203:Z206"/>
    <mergeCell ref="T176:T179"/>
    <mergeCell ref="U176:U179"/>
    <mergeCell ref="V176:V179"/>
    <mergeCell ref="I180:I181"/>
    <mergeCell ref="T180:T181"/>
    <mergeCell ref="U180:U181"/>
    <mergeCell ref="V180:V181"/>
    <mergeCell ref="I215:I216"/>
    <mergeCell ref="I212:I213"/>
    <mergeCell ref="I203:I206"/>
    <mergeCell ref="Z253:Z256"/>
    <mergeCell ref="H217:H223"/>
    <mergeCell ref="W226:W227"/>
    <mergeCell ref="X226:X227"/>
    <mergeCell ref="H226:H231"/>
    <mergeCell ref="I226:I229"/>
    <mergeCell ref="AA173:AA175"/>
    <mergeCell ref="AA176:AA186"/>
    <mergeCell ref="AA187:AA191"/>
    <mergeCell ref="AA192:AA196"/>
    <mergeCell ref="AA197:AA216"/>
    <mergeCell ref="AA253:AA257"/>
    <mergeCell ref="U233:U234"/>
    <mergeCell ref="I235:I241"/>
    <mergeCell ref="U237:U238"/>
    <mergeCell ref="AA258:AA261"/>
    <mergeCell ref="AA262:AA270"/>
    <mergeCell ref="AA217:AA223"/>
    <mergeCell ref="AA224:AA225"/>
    <mergeCell ref="AA226:AA231"/>
    <mergeCell ref="AA232:AA252"/>
    <mergeCell ref="U60:U62"/>
    <mergeCell ref="X76:X78"/>
    <mergeCell ref="I79:I81"/>
    <mergeCell ref="H96:H98"/>
    <mergeCell ref="H82:H93"/>
    <mergeCell ref="I82:I93"/>
    <mergeCell ref="H79:H81"/>
    <mergeCell ref="T120:T122"/>
    <mergeCell ref="H129:H133"/>
    <mergeCell ref="I129:I133"/>
    <mergeCell ref="U120:U122"/>
    <mergeCell ref="V120:V122"/>
    <mergeCell ref="W120:W122"/>
    <mergeCell ref="X120:X122"/>
    <mergeCell ref="I160:I161"/>
    <mergeCell ref="T160:T161"/>
    <mergeCell ref="I60:I61"/>
    <mergeCell ref="I20:I21"/>
    <mergeCell ref="G23:G26"/>
    <mergeCell ref="H23:H26"/>
    <mergeCell ref="I25:I26"/>
    <mergeCell ref="Y25:Y26"/>
    <mergeCell ref="V46:V47"/>
    <mergeCell ref="W46:W47"/>
    <mergeCell ref="X46:X47"/>
    <mergeCell ref="Y46:Y47"/>
    <mergeCell ref="W50:W52"/>
    <mergeCell ref="AF7:AH7"/>
    <mergeCell ref="K8:K9"/>
    <mergeCell ref="L8:L9"/>
    <mergeCell ref="T8:Y8"/>
    <mergeCell ref="S7:S9"/>
    <mergeCell ref="F7:G8"/>
    <mergeCell ref="I8:I9"/>
    <mergeCell ref="J8:J9"/>
    <mergeCell ref="M8:M9"/>
    <mergeCell ref="AF8:AG8"/>
    <mergeCell ref="Z8:Z9"/>
    <mergeCell ref="T7:Z7"/>
    <mergeCell ref="I7:R7"/>
    <mergeCell ref="A7:A9"/>
    <mergeCell ref="B7:B9"/>
    <mergeCell ref="C7:C9"/>
    <mergeCell ref="D7:D9"/>
    <mergeCell ref="E7:E9"/>
    <mergeCell ref="H7:H9"/>
    <mergeCell ref="F10:F22"/>
    <mergeCell ref="C23:C26"/>
    <mergeCell ref="D23:D26"/>
    <mergeCell ref="E23:E26"/>
    <mergeCell ref="F23:F26"/>
    <mergeCell ref="G10:G22"/>
    <mergeCell ref="H10:H22"/>
    <mergeCell ref="A10:A119"/>
    <mergeCell ref="B10:B47"/>
    <mergeCell ref="C10:C22"/>
    <mergeCell ref="D10:D22"/>
    <mergeCell ref="E10:E22"/>
    <mergeCell ref="C28:C32"/>
    <mergeCell ref="D28:D32"/>
    <mergeCell ref="E28:E32"/>
    <mergeCell ref="F28:F32"/>
    <mergeCell ref="G28:G32"/>
    <mergeCell ref="H28:H32"/>
    <mergeCell ref="I29:I30"/>
    <mergeCell ref="T25:T26"/>
    <mergeCell ref="U25:U26"/>
    <mergeCell ref="V25:V26"/>
    <mergeCell ref="W25:W26"/>
    <mergeCell ref="X25:X26"/>
    <mergeCell ref="Y29:Y30"/>
    <mergeCell ref="I31:I32"/>
    <mergeCell ref="V29:V30"/>
    <mergeCell ref="W29:W30"/>
    <mergeCell ref="X29:X30"/>
    <mergeCell ref="AA10:AA32"/>
    <mergeCell ref="I10:I16"/>
    <mergeCell ref="C33:C47"/>
    <mergeCell ref="D33:D47"/>
    <mergeCell ref="E33:E47"/>
    <mergeCell ref="F33:F47"/>
    <mergeCell ref="G33:G47"/>
    <mergeCell ref="H33:H38"/>
    <mergeCell ref="T29:T30"/>
    <mergeCell ref="U29:U30"/>
    <mergeCell ref="I34:I37"/>
    <mergeCell ref="H39:H47"/>
    <mergeCell ref="I43:I44"/>
    <mergeCell ref="I46:I47"/>
    <mergeCell ref="T46:T47"/>
    <mergeCell ref="U46:U47"/>
    <mergeCell ref="B48:B64"/>
    <mergeCell ref="C48:C59"/>
    <mergeCell ref="D48:D59"/>
    <mergeCell ref="E48:E59"/>
    <mergeCell ref="F48:F59"/>
    <mergeCell ref="G48:G59"/>
    <mergeCell ref="C60:C62"/>
    <mergeCell ref="D60:D62"/>
    <mergeCell ref="E60:E62"/>
    <mergeCell ref="F60:F62"/>
    <mergeCell ref="C63:C64"/>
    <mergeCell ref="D63:D64"/>
    <mergeCell ref="E63:E64"/>
    <mergeCell ref="F63:F64"/>
    <mergeCell ref="G63:G64"/>
    <mergeCell ref="G60:G62"/>
    <mergeCell ref="W48:W49"/>
    <mergeCell ref="H53:H57"/>
    <mergeCell ref="T50:T52"/>
    <mergeCell ref="U50:U52"/>
    <mergeCell ref="V50:V52"/>
    <mergeCell ref="T53:T57"/>
    <mergeCell ref="U53:U57"/>
    <mergeCell ref="V53:V57"/>
    <mergeCell ref="Y48:Y49"/>
    <mergeCell ref="H50:H52"/>
    <mergeCell ref="I50:I52"/>
    <mergeCell ref="H48:H49"/>
    <mergeCell ref="I48:I49"/>
    <mergeCell ref="T48:T49"/>
    <mergeCell ref="U48:U49"/>
    <mergeCell ref="V48:V49"/>
    <mergeCell ref="X50:X52"/>
    <mergeCell ref="Y50:Y52"/>
    <mergeCell ref="X48:X49"/>
    <mergeCell ref="W53:W57"/>
    <mergeCell ref="X53:X57"/>
    <mergeCell ref="Y53:Y57"/>
    <mergeCell ref="T58:T59"/>
    <mergeCell ref="U58:U59"/>
    <mergeCell ref="V58:V59"/>
    <mergeCell ref="W58:W59"/>
    <mergeCell ref="X58:X59"/>
    <mergeCell ref="Y58:Y59"/>
    <mergeCell ref="U70:U74"/>
    <mergeCell ref="W66:W69"/>
    <mergeCell ref="X66:X69"/>
    <mergeCell ref="T60:T62"/>
    <mergeCell ref="H63:H64"/>
    <mergeCell ref="V60:V62"/>
    <mergeCell ref="W60:W62"/>
    <mergeCell ref="X60:X62"/>
    <mergeCell ref="Y60:Y62"/>
    <mergeCell ref="H60:H62"/>
    <mergeCell ref="H58:H59"/>
    <mergeCell ref="Y66:Y69"/>
    <mergeCell ref="H65:H69"/>
    <mergeCell ref="I66:I69"/>
    <mergeCell ref="T66:T69"/>
    <mergeCell ref="U66:U69"/>
    <mergeCell ref="V66:V69"/>
    <mergeCell ref="E70:E74"/>
    <mergeCell ref="F70:F74"/>
    <mergeCell ref="Y76:Y78"/>
    <mergeCell ref="I76:I78"/>
    <mergeCell ref="T76:T78"/>
    <mergeCell ref="U76:U78"/>
    <mergeCell ref="V76:V78"/>
    <mergeCell ref="W76:W78"/>
    <mergeCell ref="W70:W74"/>
    <mergeCell ref="X70:X74"/>
    <mergeCell ref="Y70:Y74"/>
    <mergeCell ref="Z76:Z78"/>
    <mergeCell ref="H76:H78"/>
    <mergeCell ref="V70:V74"/>
    <mergeCell ref="G70:G74"/>
    <mergeCell ref="H70:H74"/>
    <mergeCell ref="I70:I74"/>
    <mergeCell ref="T70:T74"/>
    <mergeCell ref="B82:B93"/>
    <mergeCell ref="C82:C93"/>
    <mergeCell ref="D82:D93"/>
    <mergeCell ref="E82:E93"/>
    <mergeCell ref="F82:F93"/>
    <mergeCell ref="G82:G93"/>
    <mergeCell ref="C79:C81"/>
    <mergeCell ref="D79:D81"/>
    <mergeCell ref="E79:E81"/>
    <mergeCell ref="F79:F81"/>
    <mergeCell ref="G79:G81"/>
    <mergeCell ref="B65:B81"/>
    <mergeCell ref="C65:C69"/>
    <mergeCell ref="D65:D69"/>
    <mergeCell ref="E65:E69"/>
    <mergeCell ref="F65:F69"/>
    <mergeCell ref="G65:G69"/>
    <mergeCell ref="C75:C78"/>
    <mergeCell ref="D75:D78"/>
    <mergeCell ref="E75:E78"/>
    <mergeCell ref="F75:F78"/>
    <mergeCell ref="G75:G78"/>
    <mergeCell ref="C70:C74"/>
    <mergeCell ref="D70:D74"/>
    <mergeCell ref="C100:C102"/>
    <mergeCell ref="D100:D102"/>
    <mergeCell ref="E100:E102"/>
    <mergeCell ref="F100:F102"/>
    <mergeCell ref="G100:G102"/>
    <mergeCell ref="H100:H102"/>
    <mergeCell ref="W96:W97"/>
    <mergeCell ref="X96:X97"/>
    <mergeCell ref="Y96:Y97"/>
    <mergeCell ref="I96:I97"/>
    <mergeCell ref="T96:T97"/>
    <mergeCell ref="U96:U97"/>
    <mergeCell ref="V96:V97"/>
    <mergeCell ref="C96:C98"/>
    <mergeCell ref="D96:D98"/>
    <mergeCell ref="E96:E98"/>
    <mergeCell ref="F96:F98"/>
    <mergeCell ref="G96:G98"/>
    <mergeCell ref="Z96:Z97"/>
    <mergeCell ref="I105:I106"/>
    <mergeCell ref="T105:T106"/>
    <mergeCell ref="U105:U106"/>
    <mergeCell ref="V105:V106"/>
    <mergeCell ref="I111:I113"/>
    <mergeCell ref="W105:W106"/>
    <mergeCell ref="X105:X106"/>
    <mergeCell ref="Y105:Y106"/>
    <mergeCell ref="H105:H113"/>
    <mergeCell ref="C103:C104"/>
    <mergeCell ref="D103:D104"/>
    <mergeCell ref="E103:E104"/>
    <mergeCell ref="F103:F104"/>
    <mergeCell ref="G103:G104"/>
    <mergeCell ref="B120:B133"/>
    <mergeCell ref="C120:C133"/>
    <mergeCell ref="D120:D133"/>
    <mergeCell ref="E120:E133"/>
    <mergeCell ref="I117:I119"/>
    <mergeCell ref="T117:T119"/>
    <mergeCell ref="U117:U119"/>
    <mergeCell ref="V117:V119"/>
    <mergeCell ref="C117:C119"/>
    <mergeCell ref="D117:D119"/>
    <mergeCell ref="E117:E119"/>
    <mergeCell ref="F117:F119"/>
    <mergeCell ref="G117:G119"/>
    <mergeCell ref="H117:H119"/>
    <mergeCell ref="F120:F133"/>
    <mergeCell ref="G120:G133"/>
    <mergeCell ref="W117:W119"/>
    <mergeCell ref="I120:I122"/>
    <mergeCell ref="H124:H128"/>
    <mergeCell ref="I124:I128"/>
    <mergeCell ref="X117:X119"/>
    <mergeCell ref="Y117:Y119"/>
    <mergeCell ref="B94:B119"/>
    <mergeCell ref="C94:C95"/>
    <mergeCell ref="D94:D95"/>
    <mergeCell ref="E94:E95"/>
    <mergeCell ref="F94:F95"/>
    <mergeCell ref="G94:G95"/>
    <mergeCell ref="C105:C116"/>
    <mergeCell ref="D105:D116"/>
    <mergeCell ref="E105:E116"/>
    <mergeCell ref="F105:F116"/>
    <mergeCell ref="G105:G116"/>
    <mergeCell ref="Y120:Y122"/>
    <mergeCell ref="H120:H123"/>
    <mergeCell ref="B134:B141"/>
    <mergeCell ref="T151:T152"/>
    <mergeCell ref="F142:F150"/>
    <mergeCell ref="G142:G150"/>
    <mergeCell ref="H134:H141"/>
    <mergeCell ref="I134:I141"/>
    <mergeCell ref="C134:C141"/>
    <mergeCell ref="D134:D141"/>
    <mergeCell ref="E134:E141"/>
    <mergeCell ref="F134:F141"/>
    <mergeCell ref="G134:G141"/>
    <mergeCell ref="B153:B156"/>
    <mergeCell ref="C153:C156"/>
    <mergeCell ref="D153:D156"/>
    <mergeCell ref="E153:E156"/>
    <mergeCell ref="F153:F156"/>
    <mergeCell ref="G153:G156"/>
    <mergeCell ref="H153:H154"/>
    <mergeCell ref="U151:U152"/>
    <mergeCell ref="V151:V152"/>
    <mergeCell ref="W151:W152"/>
    <mergeCell ref="X151:X152"/>
    <mergeCell ref="Y151:Y152"/>
    <mergeCell ref="B142:B152"/>
    <mergeCell ref="C142:C152"/>
    <mergeCell ref="D142:D152"/>
    <mergeCell ref="E142:E152"/>
    <mergeCell ref="H142:H150"/>
    <mergeCell ref="I142:I148"/>
    <mergeCell ref="I149:I150"/>
    <mergeCell ref="F151:F152"/>
    <mergeCell ref="G151:G152"/>
    <mergeCell ref="H151:H152"/>
    <mergeCell ref="I151:I152"/>
    <mergeCell ref="A160:A186"/>
    <mergeCell ref="B160:B175"/>
    <mergeCell ref="C160:C172"/>
    <mergeCell ref="D160:D172"/>
    <mergeCell ref="E160:E172"/>
    <mergeCell ref="F160:F172"/>
    <mergeCell ref="G160:G172"/>
    <mergeCell ref="H160:H163"/>
    <mergeCell ref="W157:W158"/>
    <mergeCell ref="X157:X158"/>
    <mergeCell ref="Y157:Y158"/>
    <mergeCell ref="H157:H159"/>
    <mergeCell ref="I157:I159"/>
    <mergeCell ref="T157:T158"/>
    <mergeCell ref="U157:U158"/>
    <mergeCell ref="V157:V158"/>
    <mergeCell ref="B157:B159"/>
    <mergeCell ref="E157:E159"/>
    <mergeCell ref="W160:W161"/>
    <mergeCell ref="X160:X161"/>
    <mergeCell ref="Y160:Y161"/>
    <mergeCell ref="U160:U161"/>
    <mergeCell ref="V160:V161"/>
    <mergeCell ref="I162:I163"/>
    <mergeCell ref="T162:T163"/>
    <mergeCell ref="U162:U163"/>
    <mergeCell ref="V162:V163"/>
    <mergeCell ref="W162:W163"/>
    <mergeCell ref="X162:X163"/>
    <mergeCell ref="Y162:Y163"/>
    <mergeCell ref="H165:H166"/>
    <mergeCell ref="I165:I166"/>
    <mergeCell ref="T165:T166"/>
    <mergeCell ref="U165:U166"/>
    <mergeCell ref="V165:V166"/>
    <mergeCell ref="W165:W166"/>
    <mergeCell ref="X165:X166"/>
    <mergeCell ref="Y165:Y166"/>
    <mergeCell ref="W167:W172"/>
    <mergeCell ref="X167:X172"/>
    <mergeCell ref="Y167:Y172"/>
    <mergeCell ref="C173:C175"/>
    <mergeCell ref="D173:D175"/>
    <mergeCell ref="E173:E175"/>
    <mergeCell ref="F173:F175"/>
    <mergeCell ref="G173:G175"/>
    <mergeCell ref="W173:W175"/>
    <mergeCell ref="X173:X175"/>
    <mergeCell ref="Y173:Y175"/>
    <mergeCell ref="H173:H175"/>
    <mergeCell ref="I173:I175"/>
    <mergeCell ref="T173:T175"/>
    <mergeCell ref="U173:U175"/>
    <mergeCell ref="V173:V175"/>
    <mergeCell ref="Z173:Z175"/>
    <mergeCell ref="H167:H172"/>
    <mergeCell ref="I167:I172"/>
    <mergeCell ref="T167:T172"/>
    <mergeCell ref="U167:U172"/>
    <mergeCell ref="V167:V172"/>
    <mergeCell ref="C197:C225"/>
    <mergeCell ref="Y203:Y206"/>
    <mergeCell ref="V203:V206"/>
    <mergeCell ref="I184:I185"/>
    <mergeCell ref="D197:D225"/>
    <mergeCell ref="E197:E225"/>
    <mergeCell ref="F197:F225"/>
    <mergeCell ref="G197:G225"/>
    <mergeCell ref="H197:H216"/>
    <mergeCell ref="W180:W181"/>
    <mergeCell ref="X180:X181"/>
    <mergeCell ref="F187:F191"/>
    <mergeCell ref="G187:G191"/>
    <mergeCell ref="H187:H190"/>
    <mergeCell ref="W207:W208"/>
    <mergeCell ref="X207:X208"/>
    <mergeCell ref="W203:W206"/>
    <mergeCell ref="X203:X206"/>
    <mergeCell ref="U197:U201"/>
    <mergeCell ref="V197:V201"/>
    <mergeCell ref="F176:F186"/>
    <mergeCell ref="G176:G186"/>
    <mergeCell ref="H176:H183"/>
    <mergeCell ref="H184:H185"/>
    <mergeCell ref="Y192:Y195"/>
    <mergeCell ref="U192:U195"/>
    <mergeCell ref="V192:V195"/>
    <mergeCell ref="W192:W195"/>
    <mergeCell ref="X192:X195"/>
    <mergeCell ref="Y197:Y201"/>
    <mergeCell ref="U203:U206"/>
    <mergeCell ref="U207:U208"/>
    <mergeCell ref="V207:V208"/>
    <mergeCell ref="Y180:Y181"/>
    <mergeCell ref="W176:W179"/>
    <mergeCell ref="X176:X179"/>
    <mergeCell ref="Y176:Y179"/>
    <mergeCell ref="I176:I179"/>
    <mergeCell ref="D226:D231"/>
    <mergeCell ref="E226:E231"/>
    <mergeCell ref="F226:F231"/>
    <mergeCell ref="G226:G231"/>
    <mergeCell ref="U219:U220"/>
    <mergeCell ref="Y207:Y208"/>
    <mergeCell ref="I209:I210"/>
    <mergeCell ref="T203:T206"/>
    <mergeCell ref="T197:T201"/>
    <mergeCell ref="I207:I208"/>
    <mergeCell ref="T207:T208"/>
    <mergeCell ref="V219:V220"/>
    <mergeCell ref="W219:W220"/>
    <mergeCell ref="X219:X220"/>
    <mergeCell ref="Y219:Y220"/>
    <mergeCell ref="I217:I218"/>
    <mergeCell ref="I219:I220"/>
    <mergeCell ref="T219:T220"/>
    <mergeCell ref="U226:U227"/>
    <mergeCell ref="Y226:Y227"/>
    <mergeCell ref="Y237:Y238"/>
    <mergeCell ref="I242:I247"/>
    <mergeCell ref="T243:T244"/>
    <mergeCell ref="U243:U244"/>
    <mergeCell ref="Z243:Z244"/>
    <mergeCell ref="W197:W201"/>
    <mergeCell ref="X197:X201"/>
    <mergeCell ref="I197:I201"/>
    <mergeCell ref="V226:V227"/>
    <mergeCell ref="H224:H225"/>
    <mergeCell ref="I224:I225"/>
    <mergeCell ref="AB207:AB208"/>
    <mergeCell ref="F232:F252"/>
    <mergeCell ref="G232:G252"/>
    <mergeCell ref="H258:H261"/>
    <mergeCell ref="I258:I261"/>
    <mergeCell ref="W233:W234"/>
    <mergeCell ref="X233:X234"/>
    <mergeCell ref="Y233:Y234"/>
    <mergeCell ref="X243:X244"/>
    <mergeCell ref="Y243:Y244"/>
    <mergeCell ref="I248:I252"/>
    <mergeCell ref="T237:T238"/>
    <mergeCell ref="V243:V244"/>
    <mergeCell ref="W243:W244"/>
    <mergeCell ref="V233:V234"/>
    <mergeCell ref="V237:V238"/>
    <mergeCell ref="W237:W238"/>
    <mergeCell ref="X237:X238"/>
    <mergeCell ref="A258:A283"/>
    <mergeCell ref="B258:B283"/>
    <mergeCell ref="C258:C270"/>
    <mergeCell ref="D258:D270"/>
    <mergeCell ref="E258:E270"/>
    <mergeCell ref="F258:F261"/>
    <mergeCell ref="G258:G261"/>
    <mergeCell ref="V253:V256"/>
    <mergeCell ref="W253:W256"/>
    <mergeCell ref="X253:X256"/>
    <mergeCell ref="Y253:Y256"/>
    <mergeCell ref="G253:G257"/>
    <mergeCell ref="H253:H257"/>
    <mergeCell ref="I253:I256"/>
    <mergeCell ref="T253:T256"/>
    <mergeCell ref="C271:C275"/>
    <mergeCell ref="D271:D275"/>
    <mergeCell ref="U253:U256"/>
    <mergeCell ref="W285:W287"/>
    <mergeCell ref="T288:T290"/>
    <mergeCell ref="U288:U290"/>
    <mergeCell ref="V288:V290"/>
    <mergeCell ref="W288:W290"/>
    <mergeCell ref="X288:X290"/>
    <mergeCell ref="AA288:AA290"/>
    <mergeCell ref="AA285:AA287"/>
    <mergeCell ref="Z285:Z287"/>
    <mergeCell ref="Z288:Z290"/>
    <mergeCell ref="Y288:Y290"/>
    <mergeCell ref="Y285:Y287"/>
    <mergeCell ref="V274:V275"/>
    <mergeCell ref="Y274:Y275"/>
    <mergeCell ref="F276:F283"/>
    <mergeCell ref="G276:G283"/>
    <mergeCell ref="H276:H283"/>
    <mergeCell ref="I276:I281"/>
    <mergeCell ref="F271:F275"/>
    <mergeCell ref="G271:G275"/>
    <mergeCell ref="H272:H275"/>
    <mergeCell ref="I274:I275"/>
    <mergeCell ref="AA271:AA275"/>
    <mergeCell ref="AA276:AA283"/>
    <mergeCell ref="E271:E275"/>
    <mergeCell ref="T285:T287"/>
    <mergeCell ref="V285:V287"/>
    <mergeCell ref="X285:X287"/>
    <mergeCell ref="C157:C159"/>
    <mergeCell ref="D157:D159"/>
    <mergeCell ref="F157:F159"/>
    <mergeCell ref="G157:G159"/>
    <mergeCell ref="B253:B257"/>
    <mergeCell ref="C253:C257"/>
    <mergeCell ref="D253:D257"/>
    <mergeCell ref="E253:E257"/>
    <mergeCell ref="F253:F257"/>
    <mergeCell ref="B232:B252"/>
    <mergeCell ref="C232:C252"/>
    <mergeCell ref="W274:W275"/>
    <mergeCell ref="X274:X275"/>
    <mergeCell ref="U285:U287"/>
    <mergeCell ref="F262:F270"/>
    <mergeCell ref="G262:G270"/>
    <mergeCell ref="H262:H270"/>
    <mergeCell ref="I262:I270"/>
    <mergeCell ref="T274:T275"/>
    <mergeCell ref="U274:U275"/>
    <mergeCell ref="C276:C283"/>
    <mergeCell ref="D276:D283"/>
    <mergeCell ref="E276:E283"/>
    <mergeCell ref="E285:E287"/>
    <mergeCell ref="H285:H287"/>
    <mergeCell ref="I285:I287"/>
    <mergeCell ref="B285:B287"/>
    <mergeCell ref="B288:B290"/>
    <mergeCell ref="E288:E290"/>
    <mergeCell ref="H288:H290"/>
    <mergeCell ref="I288:I290"/>
    <mergeCell ref="G288:G290"/>
    <mergeCell ref="F288:F290"/>
    <mergeCell ref="D288:D290"/>
    <mergeCell ref="T233:T234"/>
    <mergeCell ref="E232:E252"/>
    <mergeCell ref="B187:B225"/>
    <mergeCell ref="T226:T227"/>
    <mergeCell ref="B226:B231"/>
    <mergeCell ref="C226:C231"/>
    <mergeCell ref="A284:A290"/>
    <mergeCell ref="B176:B186"/>
    <mergeCell ref="C176:C186"/>
    <mergeCell ref="D176:D186"/>
    <mergeCell ref="E176:E186"/>
    <mergeCell ref="C288:C290"/>
    <mergeCell ref="C285:C287"/>
    <mergeCell ref="D285:D287"/>
    <mergeCell ref="F285:F287"/>
    <mergeCell ref="G285:G287"/>
    <mergeCell ref="AE157:AE159"/>
    <mergeCell ref="AE258:AE259"/>
    <mergeCell ref="AF258:AF259"/>
    <mergeCell ref="AG258:AG259"/>
    <mergeCell ref="A120:A159"/>
    <mergeCell ref="A187:A257"/>
    <mergeCell ref="T192:T195"/>
    <mergeCell ref="C192:C196"/>
    <mergeCell ref="D192:D196"/>
    <mergeCell ref="E192:E196"/>
    <mergeCell ref="F192:F196"/>
    <mergeCell ref="G192:G196"/>
    <mergeCell ref="H192:H196"/>
    <mergeCell ref="I192:I195"/>
    <mergeCell ref="C187:C191"/>
    <mergeCell ref="D187:D191"/>
    <mergeCell ref="E187:E191"/>
    <mergeCell ref="D232:D252"/>
    <mergeCell ref="H232:H252"/>
    <mergeCell ref="I233:I234"/>
  </mergeCells>
  <hyperlinks>
    <hyperlink ref="AC64" r:id="rId1" location="NP1" display="http://www.secretariasenado.gov.co/senado/basedoc/ley/1993/ley_0100_1993_pr008.html - NP1"/>
  </hyperlinks>
  <pageMargins left="0.67" right="0.51181102362204722" top="0.39370078740157483" bottom="0.6692913385826772" header="0.27559055118110237" footer="0.31496062992125984"/>
  <pageSetup paperSize="9" scale="76" orientation="landscape" r:id="rId2"/>
  <headerFooter>
    <oddFooter>&amp;LFormulación Estratégica del Plan de Desarrollo 2012-2015Secretaría de Planeación&amp;CPág. &amp;P de &amp;N&amp;R&amp;A</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PDM-PLAN DE ACCION 2012-2015</vt:lpstr>
      <vt:lpstr>'PDM-PLAN DE ACCION 2012-2015'!Títulos_a_imprimir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Rodriguez, Gabriel</cp:lastModifiedBy>
  <cp:lastPrinted>2013-01-31T21:36:10Z</cp:lastPrinted>
  <dcterms:created xsi:type="dcterms:W3CDTF">2012-03-21T02:17:21Z</dcterms:created>
  <dcterms:modified xsi:type="dcterms:W3CDTF">2013-01-31T21:40:48Z</dcterms:modified>
</cp:coreProperties>
</file>